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 workbookPassword="D7AB" lockStructure="1"/>
  <bookViews>
    <workbookView visibility="visible" minimized="0" showHorizontalScroll="1" showVerticalScroll="1" showSheetTabs="1" tabRatio="600" firstSheet="0" activeTab="1" autoFilterDateGrouping="1"/>
  </bookViews>
  <sheets>
    <sheet xmlns:r="http://schemas.openxmlformats.org/officeDocument/2006/relationships" name="Sobre a AAWZ" sheetId="1" state="visible" r:id="rId1"/>
    <sheet xmlns:r="http://schemas.openxmlformats.org/officeDocument/2006/relationships" name="Calculadora" sheetId="2" state="visible" r:id="rId2"/>
    <sheet xmlns:r="http://schemas.openxmlformats.org/officeDocument/2006/relationships" name="_Motor" sheetId="3" state="veryHidden" r:id="rId3"/>
  </sheets>
  <definedNames>
    <definedName name="Val_Ext">'Calculadora'!$C$11</definedName>
    <definedName name="Mult_Desc">'Calculadora'!$C$13</definedName>
    <definedName name="CAGR">'Calculadora'!$C$15</definedName>
    <definedName name="Part">'Calculadora'!$C$17</definedName>
    <definedName name="Horizonte">'Calculadora'!$C$19</definedName>
    <definedName name="CDI">'Calculadora'!$C$21</definedName>
    <definedName name="Lockup_Aq">'Calculadora'!$C$23</definedName>
    <definedName name="Vest_Total">'Calculadora'!$C$25</definedName>
    <definedName name="Cliff">'Calculadora'!$C$27</definedName>
    <definedName name="Cliff_Pct">'Calculadora'!$C$29</definedName>
    <definedName name="Lockup_Vest">'Calculadora'!$C$31</definedName>
    <definedName name="Modalidade">'Calculadora'!$C$5</definedName>
    <definedName name="Vest_Tipo">'Calculadora'!$C$6</definedName>
    <definedName name="CDI_M">'_Motor'!$C$2</definedName>
    <definedName name="CAGR_M">'_Motor'!$C$3</definedName>
    <definedName name="Val_Int">'_Motor'!$C$4</definedName>
    <definedName name="PartExt">'_Motor'!$C$5</definedName>
    <definedName name="PartInt">'_Motor'!$C$6</definedName>
    <definedName name="custoAq">'_Motor'!$C$7</definedName>
    <definedName name="baseCDI">'_Motor'!$C$8</definedName>
    <definedName name="Horizonte_M">'_Motor'!$C$9</definedName>
  </definedNames>
  <calcPr calcId="124519" fullCalcOnLoad="1"/>
</workbook>
</file>

<file path=xl/styles.xml><?xml version="1.0" encoding="utf-8"?>
<styleSheet xmlns="http://schemas.openxmlformats.org/spreadsheetml/2006/main">
  <numFmts count="9">
    <numFmt numFmtId="164" formatCode="0.000"/>
    <numFmt numFmtId="165" formatCode="&quot;R$ &quot;#,##0"/>
    <numFmt numFmtId="166" formatCode="0.0&quot; x&quot;"/>
    <numFmt numFmtId="167" formatCode="0.0&quot;%&quot;"/>
    <numFmt numFmtId="168" formatCode="0.00&quot;%&quot;"/>
    <numFmt numFmtId="169" formatCode="0&quot; anos&quot;"/>
    <numFmt numFmtId="170" formatCode="0&quot; meses&quot;"/>
    <numFmt numFmtId="171" formatCode="0&quot;%&quot;"/>
    <numFmt numFmtId="172" formatCode="0.0&quot;x&quot;"/>
  </numFmts>
  <fonts count="21">
    <font>
      <name val="Calibri"/>
      <family val="2"/>
      <color theme="1"/>
      <sz val="11"/>
      <scheme val="minor"/>
    </font>
    <font>
      <name val="Calibri"/>
      <b val="1"/>
      <color rgb="00B7E0A6"/>
      <sz val="10"/>
    </font>
    <font>
      <name val="Calibri"/>
      <b val="1"/>
      <color rgb="00FFFFFF"/>
      <sz val="24"/>
    </font>
    <font>
      <name val="Calibri"/>
      <color rgb="00FFFFFF"/>
      <sz val="11"/>
    </font>
    <font>
      <name val="Calibri"/>
      <b val="1"/>
      <color rgb="003D4B37"/>
      <sz val="10"/>
    </font>
    <font>
      <name val="Calibri"/>
      <b val="1"/>
      <color rgb="001F2A1F"/>
      <sz val="16"/>
    </font>
    <font>
      <name val="Calibri"/>
      <color rgb="00475467"/>
      <sz val="11"/>
    </font>
    <font>
      <name val="Calibri"/>
      <color rgb="00475467"/>
      <sz val="10"/>
    </font>
    <font>
      <name val="Calibri"/>
      <b val="1"/>
      <color rgb="0078946D"/>
      <sz val="10"/>
    </font>
    <font>
      <name val="Calibri"/>
      <b val="1"/>
      <color rgb="00B7E0A6"/>
      <sz val="22"/>
    </font>
    <font>
      <name val="Calibri"/>
      <color rgb="00D0E8C5"/>
      <sz val="10"/>
    </font>
    <font>
      <name val="Calibri"/>
      <b val="1"/>
      <color rgb="001F2A1F"/>
      <sz val="12"/>
    </font>
    <font>
      <name val="Calibri"/>
      <b val="1"/>
      <color rgb="003D4B37"/>
      <sz val="11"/>
      <u val="single"/>
    </font>
    <font>
      <name val="Calibri"/>
      <b val="1"/>
      <color rgb="001F1F1F"/>
      <sz val="11"/>
    </font>
    <font>
      <name val="Calibri"/>
      <i val="1"/>
      <color rgb="0098A2B3"/>
      <sz val="9"/>
    </font>
    <font>
      <name val="Calibri"/>
      <b val="1"/>
      <color rgb="00475467"/>
      <sz val="10"/>
    </font>
    <font>
      <name val="Calibri"/>
      <b val="1"/>
      <color rgb="00FFFFFF"/>
      <sz val="10"/>
    </font>
    <font>
      <name val="Calibri"/>
      <color rgb="0098A2B3"/>
      <sz val="9"/>
    </font>
    <font>
      <name val="Calibri"/>
      <color rgb="00B7E0A6"/>
      <sz val="9"/>
    </font>
    <font>
      <name val="Calibri"/>
      <b val="1"/>
      <color rgb="003D4B37"/>
      <sz val="20"/>
    </font>
    <font>
      <name val="Calibri"/>
      <b val="1"/>
      <color rgb="00FFFFFF"/>
      <sz val="22"/>
    </font>
  </fonts>
  <fills count="8">
    <fill>
      <patternFill/>
    </fill>
    <fill>
      <patternFill patternType="gray125"/>
    </fill>
    <fill>
      <patternFill patternType="solid">
        <fgColor rgb="001F2A1F"/>
      </patternFill>
    </fill>
    <fill>
      <patternFill patternType="solid">
        <fgColor rgb="00E8F2DB"/>
      </patternFill>
    </fill>
    <fill>
      <patternFill patternType="solid">
        <fgColor rgb="00B7E0A6"/>
      </patternFill>
    </fill>
    <fill>
      <patternFill patternType="solid">
        <fgColor rgb="003D4B37"/>
      </patternFill>
    </fill>
    <fill>
      <patternFill patternType="solid">
        <fgColor rgb="00DDF0CC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left style="thin">
        <color rgb="00D8E0D2"/>
      </left>
      <right style="thin">
        <color rgb="00D8E0D2"/>
      </right>
      <top style="thin">
        <color rgb="00D8E0D2"/>
      </top>
      <bottom style="thin">
        <color rgb="00D8E0D2"/>
      </bottom>
    </border>
    <border>
      <left style="medium">
        <color rgb="0078946D"/>
      </left>
      <right style="medium">
        <color rgb="0078946D"/>
      </right>
      <top style="medium">
        <color rgb="0078946D"/>
      </top>
      <bottom style="medium">
        <color rgb="0078946D"/>
      </bottom>
    </border>
  </borders>
  <cellStyleXfs count="1">
    <xf numFmtId="0" fontId="0" fillId="0" borderId="0"/>
  </cellStyleXfs>
  <cellXfs count="61">
    <xf numFmtId="0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0" fillId="2" borderId="0" pivotButton="0" quotePrefix="0" xfId="0"/>
    <xf numFmtId="0" fontId="2" fillId="2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left" vertical="top" wrapText="1"/>
    </xf>
    <xf numFmtId="0" fontId="4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top" wrapText="1"/>
    </xf>
    <xf numFmtId="0" fontId="4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0" fontId="0" fillId="4" borderId="1" pivotButton="0" quotePrefix="0" xfId="0"/>
    <xf numFmtId="0" fontId="7" fillId="4" borderId="1" applyAlignment="1" pivotButton="0" quotePrefix="0" xfId="0">
      <alignment horizontal="left" vertical="top" wrapText="1"/>
    </xf>
    <xf numFmtId="0" fontId="9" fillId="5" borderId="1" applyAlignment="1" pivotButton="0" quotePrefix="0" xfId="0">
      <alignment horizontal="center" vertical="center" wrapText="1"/>
    </xf>
    <xf numFmtId="0" fontId="0" fillId="5" borderId="1" pivotButton="0" quotePrefix="0" xfId="0"/>
    <xf numFmtId="0" fontId="10" fillId="5" borderId="1" applyAlignment="1" pivotButton="0" quotePrefix="0" xfId="0">
      <alignment horizontal="center" vertical="center" wrapText="1"/>
    </xf>
    <xf numFmtId="0" fontId="11" fillId="3" borderId="1" applyAlignment="1" pivotButton="0" quotePrefix="0" xfId="0">
      <alignment horizontal="left" vertical="center" wrapText="1"/>
    </xf>
    <xf numFmtId="0" fontId="11" fillId="4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center" vertical="center" wrapText="1"/>
    </xf>
    <xf numFmtId="0" fontId="12" fillId="0" borderId="0" applyAlignment="1" pivotButton="0" quotePrefix="0" xfId="0">
      <alignment horizontal="left" vertical="center" wrapText="1"/>
    </xf>
    <xf numFmtId="0" fontId="13" fillId="0" borderId="0" applyAlignment="1" pivotButton="0" quotePrefix="0" xfId="0">
      <alignment horizontal="left" vertical="center" wrapText="1"/>
    </xf>
    <xf numFmtId="0" fontId="11" fillId="6" borderId="2" applyAlignment="1" applyProtection="1" pivotButton="0" quotePrefix="0" xfId="0">
      <alignment horizontal="center" vertical="center" wrapText="1"/>
      <protection locked="0" hidden="0"/>
    </xf>
    <xf numFmtId="165" fontId="11" fillId="6" borderId="2" applyAlignment="1" applyProtection="1" pivotButton="0" quotePrefix="0" xfId="0">
      <alignment horizontal="center" vertical="center" wrapText="1"/>
      <protection locked="0" hidden="0"/>
    </xf>
    <xf numFmtId="0" fontId="14" fillId="0" borderId="0" applyAlignment="1" pivotButton="0" quotePrefix="0" xfId="0">
      <alignment horizontal="left" vertical="top" wrapText="1"/>
    </xf>
    <xf numFmtId="166" fontId="11" fillId="6" borderId="2" applyAlignment="1" applyProtection="1" pivotButton="0" quotePrefix="0" xfId="0">
      <alignment horizontal="center" vertical="center" wrapText="1"/>
      <protection locked="0" hidden="0"/>
    </xf>
    <xf numFmtId="167" fontId="11" fillId="6" borderId="2" applyAlignment="1" applyProtection="1" pivotButton="0" quotePrefix="0" xfId="0">
      <alignment horizontal="center" vertical="center" wrapText="1"/>
      <protection locked="0" hidden="0"/>
    </xf>
    <xf numFmtId="168" fontId="11" fillId="6" borderId="2" applyAlignment="1" applyProtection="1" pivotButton="0" quotePrefix="0" xfId="0">
      <alignment horizontal="center" vertical="center" wrapText="1"/>
      <protection locked="0" hidden="0"/>
    </xf>
    <xf numFmtId="169" fontId="11" fillId="6" borderId="2" applyAlignment="1" applyProtection="1" pivotButton="0" quotePrefix="0" xfId="0">
      <alignment horizontal="center" vertical="center" wrapText="1"/>
      <protection locked="0" hidden="0"/>
    </xf>
    <xf numFmtId="170" fontId="11" fillId="6" borderId="2" applyAlignment="1" applyProtection="1" pivotButton="0" quotePrefix="0" xfId="0">
      <alignment horizontal="center" vertical="center" wrapText="1"/>
      <protection locked="0" hidden="0"/>
    </xf>
    <xf numFmtId="171" fontId="11" fillId="6" borderId="2" applyAlignment="1" applyProtection="1" pivotButton="0" quotePrefix="0" xfId="0">
      <alignment horizontal="center" vertical="center" wrapText="1"/>
      <protection locked="0" hidden="0"/>
    </xf>
    <xf numFmtId="0" fontId="15" fillId="3" borderId="1" applyAlignment="1" pivotButton="0" quotePrefix="0" xfId="0">
      <alignment horizontal="left" vertical="center" wrapText="1"/>
    </xf>
    <xf numFmtId="0" fontId="13" fillId="3" borderId="1" applyAlignment="1" pivotButton="0" quotePrefix="0" xfId="0">
      <alignment horizontal="right" vertical="center"/>
    </xf>
    <xf numFmtId="10" fontId="13" fillId="3" borderId="1" applyAlignment="1" pivotButton="0" quotePrefix="0" xfId="0">
      <alignment horizontal="right" vertical="center"/>
    </xf>
    <xf numFmtId="165" fontId="13" fillId="3" borderId="1" applyAlignment="1" pivotButton="0" quotePrefix="0" xfId="0">
      <alignment horizontal="right" vertical="center"/>
    </xf>
    <xf numFmtId="172" fontId="13" fillId="3" borderId="1" applyAlignment="1" pivotButton="0" quotePrefix="0" xfId="0">
      <alignment horizontal="right" vertical="center"/>
    </xf>
    <xf numFmtId="0" fontId="16" fillId="5" borderId="1" applyAlignment="1" pivotButton="0" quotePrefix="0" xfId="0">
      <alignment horizontal="left" vertical="center" wrapText="1"/>
    </xf>
    <xf numFmtId="0" fontId="13" fillId="7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left" vertical="top" wrapText="1"/>
    </xf>
    <xf numFmtId="0" fontId="0" fillId="7" borderId="1" pivotButton="0" quotePrefix="0" xfId="0"/>
    <xf numFmtId="0" fontId="13" fillId="4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left" vertical="top" wrapText="1"/>
    </xf>
    <xf numFmtId="0" fontId="17" fillId="7" borderId="1" applyAlignment="1" pivotButton="0" quotePrefix="0" xfId="0">
      <alignment horizontal="left" vertical="center" wrapText="1"/>
    </xf>
    <xf numFmtId="0" fontId="15" fillId="7" borderId="1" applyAlignment="1" pivotButton="0" quotePrefix="0" xfId="0">
      <alignment horizontal="left" vertical="center" wrapText="1"/>
    </xf>
    <xf numFmtId="165" fontId="19" fillId="7" borderId="1" applyAlignment="1" pivotButton="0" quotePrefix="0" xfId="0">
      <alignment horizontal="left" vertical="center" wrapText="1"/>
    </xf>
    <xf numFmtId="0" fontId="17" fillId="7" borderId="1" applyAlignment="1" pivotButton="0" quotePrefix="0" xfId="0">
      <alignment horizontal="left" vertical="top" wrapText="1"/>
    </xf>
    <xf numFmtId="0" fontId="18" fillId="5" borderId="1" applyAlignment="1" pivotButton="0" quotePrefix="0" xfId="0">
      <alignment horizontal="left" vertical="center" wrapText="1"/>
    </xf>
    <xf numFmtId="0" fontId="15" fillId="3" borderId="1" applyAlignment="1" pivotButton="0" quotePrefix="0" xfId="0">
      <alignment horizontal="left" vertical="top" wrapText="1"/>
    </xf>
    <xf numFmtId="165" fontId="20" fillId="5" borderId="1" applyAlignment="1" pivotButton="0" quotePrefix="0" xfId="0">
      <alignment horizontal="left" vertical="center" wrapText="1"/>
    </xf>
    <xf numFmtId="165" fontId="19" fillId="3" borderId="1" applyAlignment="1" pivotButton="0" quotePrefix="0" xfId="0">
      <alignment horizontal="left" vertical="center" wrapText="1"/>
    </xf>
    <xf numFmtId="0" fontId="18" fillId="5" borderId="1" applyAlignment="1" pivotButton="0" quotePrefix="0" xfId="0">
      <alignment horizontal="left" vertical="top" wrapText="1"/>
    </xf>
    <xf numFmtId="0" fontId="17" fillId="3" borderId="1" applyAlignment="1" pivotButton="0" quotePrefix="0" xfId="0">
      <alignment horizontal="left" vertical="top" wrapText="1"/>
    </xf>
    <xf numFmtId="0" fontId="16" fillId="5" borderId="1" applyAlignment="1" pivotButton="0" quotePrefix="0" xfId="0">
      <alignment horizontal="center" vertical="center" wrapText="1"/>
    </xf>
    <xf numFmtId="0" fontId="6" fillId="7" borderId="1" applyAlignment="1" pivotButton="0" quotePrefix="0" xfId="0">
      <alignment horizontal="center" vertical="center" wrapText="1"/>
    </xf>
    <xf numFmtId="165" fontId="13" fillId="7" borderId="1" applyAlignment="1" pivotButton="0" quotePrefix="0" xfId="0">
      <alignment horizontal="right" vertical="center"/>
    </xf>
    <xf numFmtId="3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Valor da sua participacao ao longo dos anos</a:t>
            </a:r>
          </a:p>
        </rich>
      </tx>
    </title>
    <plotArea>
      <lineChart>
        <grouping val="standard"/>
        <ser>
          <idx val="0"/>
          <order val="0"/>
          <tx>
            <strRef>
              <f>'_Motor'!I15</f>
            </strRef>
          </tx>
          <spPr>
            <a:ln xmlns:a="http://schemas.openxmlformats.org/drawingml/2006/main" w="28000">
              <a:solidFill>
                <a:srgbClr val="78946D"/>
              </a:solidFill>
              <a:prstDash val="solid"/>
            </a:ln>
          </spPr>
          <marker>
            <symbol val="circle"/>
            <size val="6"/>
            <spPr>
              <a:solidFill xmlns:a="http://schemas.openxmlformats.org/drawingml/2006/main">
                <a:srgbClr val="78946D"/>
              </a:solidFill>
              <a:ln xmlns:a="http://schemas.openxmlformats.org/drawingml/2006/main">
                <a:prstDash val="solid"/>
              </a:ln>
            </spPr>
          </marker>
          <cat>
            <numRef>
              <f>'_Motor'!$G$16:$G$36</f>
            </numRef>
          </cat>
          <val>
            <numRef>
              <f>'_Motor'!$I$16:$I$36</f>
            </numRef>
          </val>
          <smooth val="1"/>
        </ser>
        <ser>
          <idx val="1"/>
          <order val="1"/>
          <tx>
            <strRef>
              <f>'_Motor'!H15</f>
            </strRef>
          </tx>
          <spPr>
            <a:ln xmlns:a="http://schemas.openxmlformats.org/drawingml/2006/main" w="32000">
              <a:solidFill>
                <a:srgbClr val="3D4B37"/>
              </a:solidFill>
              <a:prstDash val="solid"/>
            </a:ln>
          </spPr>
          <marker>
            <symbol val="circle"/>
            <size val="6"/>
            <spPr>
              <a:solidFill xmlns:a="http://schemas.openxmlformats.org/drawingml/2006/main">
                <a:srgbClr val="3D4B37"/>
              </a:solidFill>
              <a:ln xmlns:a="http://schemas.openxmlformats.org/drawingml/2006/main">
                <a:prstDash val="solid"/>
              </a:ln>
            </spPr>
          </marker>
          <cat>
            <numRef>
              <f>'_Motor'!$G$16:$G$36</f>
            </numRef>
          </cat>
          <val>
            <numRef>
              <f>'_Motor'!$H$16:$H$36</f>
            </numRef>
          </val>
          <smooth val="1"/>
        </ser>
        <axId val="10"/>
        <axId val="100"/>
      </lineChart>
      <catAx>
        <axId val="10"/>
        <scaling>
          <orientation val="minMax"/>
        </scaling>
        <delete val="0"/>
        <axPos val="b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Ano</a:t>
                </a:r>
              </a:p>
            </rich>
          </tx>
        </title>
        <majorTickMark val="none"/>
        <minorTickMark val="none"/>
        <crossAx val="100"/>
        <crosses val="autoZero"/>
        <lblOffset val="100"/>
      </catAx>
      <valAx>
        <axId val="100"/>
        <scaling>
          <orientation val="minMax"/>
        </scaling>
        <delete val="0"/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  <crosses val="autoZero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Curva de aquisicao da participacao (% adquirido)</a:t>
            </a:r>
          </a:p>
        </rich>
      </tx>
    </title>
    <plotArea>
      <lineChart>
        <grouping val="standard"/>
        <ser>
          <idx val="0"/>
          <order val="0"/>
          <tx>
            <strRef>
              <f>'_Motor'!N15</f>
            </strRef>
          </tx>
          <spPr>
            <a:ln xmlns:a="http://schemas.openxmlformats.org/drawingml/2006/main" w="28000">
              <a:solidFill>
                <a:srgbClr val="3D4B37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'_Motor'!$M$16:$M$76</f>
            </numRef>
          </cat>
          <val>
            <numRef>
              <f>'_Motor'!$N$16:$N$76</f>
            </numRef>
          </val>
          <smooth val="1"/>
        </ser>
        <axId val="10"/>
        <axId val="100"/>
      </lineChart>
      <catAx>
        <axId val="10"/>
        <scaling>
          <orientation val="minMax"/>
        </scaling>
        <delete val="0"/>
        <axPos val="b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Meses</a:t>
                </a:r>
              </a:p>
            </rich>
          </tx>
        </title>
        <majorTickMark val="none"/>
        <minorTickMark val="none"/>
        <crossAx val="100"/>
        <crosses val="autoZero"/>
        <lblOffset val="100"/>
      </catAx>
      <valAx>
        <axId val="100"/>
        <scaling>
          <orientation val="minMax"/>
          <max val="100"/>
          <min val="0"/>
        </scaling>
        <delete val="0"/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%</a:t>
                </a:r>
              </a:p>
            </rich>
          </tx>
        </title>
        <majorTickMark val="none"/>
        <minorTickMark val="none"/>
        <crossAx val="10"/>
        <crosses val="autoZero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4</row>
      <rowOff>0</rowOff>
    </from>
    <ext cx="7200000" cy="30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21</row>
      <rowOff>0</rowOff>
    </from>
    <ext cx="4320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a.me/5548991414406?text=Ola!%20Vim%20pela%20Calculadora%20de%20Equity%20e%20gostaria%20de%20agendar%20um%20diagnostico%20com%20um%20consultor%20AAWZ." TargetMode="External" Id="rId1"/><Relationship Type="http://schemas.openxmlformats.org/officeDocument/2006/relationships/hyperlink" Target="https://aawzpartners.com" TargetMode="External" Id="rId2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F51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.5" customWidth="1" min="7" max="7"/>
  </cols>
  <sheetData>
    <row r="2" ht="8" customHeight="1">
      <c r="B2" s="1" t="inlineStr">
        <is>
          <t>AAWZ PARTNERS</t>
        </is>
      </c>
      <c r="C2" s="2" t="n"/>
      <c r="D2" s="2" t="n"/>
      <c r="E2" s="2" t="n"/>
      <c r="F2" s="2" t="n"/>
    </row>
    <row r="3">
      <c r="B3" s="3" t="inlineStr">
        <is>
          <t>Calculadora de Equity</t>
        </is>
      </c>
      <c r="C3" s="2" t="n"/>
      <c r="D3" s="2" t="n"/>
      <c r="E3" s="2" t="n"/>
      <c r="F3" s="2" t="n"/>
    </row>
    <row r="4">
      <c r="B4" s="2" t="n"/>
      <c r="C4" s="2" t="n"/>
      <c r="D4" s="2" t="n"/>
      <c r="E4" s="2" t="n"/>
      <c r="F4" s="2" t="n"/>
    </row>
    <row r="5">
      <c r="B5" s="4" t="inlineStr">
        <is>
          <t>A forca que acelera o mercado de investimentos</t>
        </is>
      </c>
      <c r="C5" s="2" t="n"/>
      <c r="D5" s="2" t="n"/>
      <c r="E5" s="2" t="n"/>
      <c r="F5" s="2" t="n"/>
    </row>
    <row r="6">
      <c r="B6" s="5" t="inlineStr">
        <is>
          <t>Entenda como a sua participacao evolui ao comprar no valuation interno e participar de um eventual deal pelo valuation externo. Conheca as duas modalidades mais usadas em partnership.</t>
        </is>
      </c>
      <c r="C6" s="2" t="n"/>
      <c r="D6" s="2" t="n"/>
      <c r="E6" s="2" t="n"/>
      <c r="F6" s="2" t="n"/>
    </row>
    <row r="7">
      <c r="B7" s="2" t="n"/>
      <c r="C7" s="2" t="n"/>
      <c r="D7" s="2" t="n"/>
      <c r="E7" s="2" t="n"/>
      <c r="F7" s="2" t="n"/>
    </row>
    <row r="9">
      <c r="B9" s="6" t="inlineStr">
        <is>
          <t>COMO FUNCIONA O CALCULO</t>
        </is>
      </c>
    </row>
    <row r="10">
      <c r="B10" s="7" t="inlineStr">
        <is>
          <t>Voce compra no interno para participar do externo</t>
        </is>
      </c>
    </row>
    <row r="11">
      <c r="B11" s="8" t="inlineStr">
        <is>
          <t>O valuation externo e o que o mercado paga em uma saida real: M&amp;A, rodada de captacao ou IPO. E construido por DCF, multiplos de EBITDA ou percentuais de AuC.</t>
        </is>
      </c>
    </row>
    <row r="12"/>
    <row r="13">
      <c r="B13" s="8" t="inlineStr">
        <is>
          <t>O valuation interno e previsto no Acordo de Socios e serve como base para todas as entradas e saidas do partnership. E propositalmente mais barato que o externo: o desagio e o que torna o convite a socio uma oportunidade concreta.</t>
        </is>
      </c>
    </row>
    <row r="14"/>
    <row r="15">
      <c r="B15" s="8" t="inlineStr">
        <is>
          <t>E comum encontrar interno 3 a 4 vezes mais barato que o externo. Esse e o pilar do skin in the game: o profissional compra (ou recebe) barato, fica anos sem liquidez e participa do deal externo quando ele acontece.</t>
        </is>
      </c>
    </row>
    <row r="16"/>
    <row r="18">
      <c r="B18" s="9" t="inlineStr">
        <is>
          <t>1. Valuation externo</t>
        </is>
      </c>
      <c r="C18" s="10" t="n"/>
      <c r="D18" s="10" t="n"/>
      <c r="E18" s="10" t="n"/>
      <c r="F18" s="10" t="n"/>
    </row>
    <row r="19" ht="26" customHeight="1">
      <c r="B19" s="11" t="inlineStr">
        <is>
          <t>Construido por DCF ou multiplo de mercado. E o preco de saida em M&amp;A ou IPO.</t>
        </is>
      </c>
      <c r="C19" s="10" t="n"/>
      <c r="D19" s="10" t="n"/>
      <c r="E19" s="10" t="n"/>
      <c r="F19" s="10" t="n"/>
    </row>
    <row r="20">
      <c r="B20" s="12" t="inlineStr">
        <is>
          <t>v</t>
        </is>
      </c>
    </row>
    <row r="21">
      <c r="B21" s="13" t="inlineStr">
        <is>
          <t>2. Desagio aplicado (3x a 4x)</t>
        </is>
      </c>
      <c r="C21" s="14" t="n"/>
      <c r="D21" s="14" t="n"/>
      <c r="E21" s="14" t="n"/>
      <c r="F21" s="14" t="n"/>
    </row>
    <row r="22" ht="26" customHeight="1">
      <c r="B22" s="15" t="inlineStr">
        <is>
          <t>O valuation interno e o preco real de compra do novo socio. Mais barato, cria uma oportunidade verdadeira.</t>
        </is>
      </c>
      <c r="C22" s="14" t="n"/>
      <c r="D22" s="14" t="n"/>
      <c r="E22" s="14" t="n"/>
      <c r="F22" s="14" t="n"/>
    </row>
    <row r="23">
      <c r="B23" s="12" t="inlineStr">
        <is>
          <t>v</t>
        </is>
      </c>
    </row>
    <row r="24">
      <c r="B24" s="9" t="inlineStr">
        <is>
          <t>3. O profissional entra no interno</t>
        </is>
      </c>
      <c r="C24" s="10" t="n"/>
      <c r="D24" s="10" t="n"/>
      <c r="E24" s="10" t="n"/>
      <c r="F24" s="10" t="n"/>
    </row>
    <row r="25" ht="26" customHeight="1">
      <c r="B25" s="11" t="inlineStr">
        <is>
          <t>Compra a vista ou recebe via vesting. Skin in the game real.</t>
        </is>
      </c>
      <c r="C25" s="10" t="n"/>
      <c r="D25" s="10" t="n"/>
      <c r="E25" s="10" t="n"/>
      <c r="F25" s="10" t="n"/>
    </row>
    <row r="26">
      <c r="B26" s="12" t="inlineStr">
        <is>
          <t>v</t>
        </is>
      </c>
    </row>
    <row r="27">
      <c r="B27" s="9" t="inlineStr">
        <is>
          <t>4. A sociedade cresce e gera deal externo</t>
        </is>
      </c>
      <c r="C27" s="10" t="n"/>
      <c r="D27" s="10" t="n"/>
      <c r="E27" s="10" t="n"/>
      <c r="F27" s="10" t="n"/>
    </row>
    <row r="28" ht="26" customHeight="1">
      <c r="B28" s="11" t="inlineStr">
        <is>
          <t>No horizonte, o socio realiza o ganho pelo valuation externo. A diferenca e o retorno.</t>
        </is>
      </c>
      <c r="C28" s="10" t="n"/>
      <c r="D28" s="10" t="n"/>
      <c r="E28" s="10" t="n"/>
      <c r="F28" s="10" t="n"/>
    </row>
    <row r="30">
      <c r="B30" s="7" t="inlineStr">
        <is>
          <t>Sobre a AAWZ Partners</t>
        </is>
      </c>
    </row>
    <row r="31">
      <c r="B31" s="8" t="inlineStr">
        <is>
          <t>Ecossistema B2B especializado em wealths, consultorias e assessorias de investimentos no Brasil.</t>
        </is>
      </c>
    </row>
    <row r="33" ht="34" customHeight="1">
      <c r="B33" s="16" t="inlineStr">
        <is>
          <t>+8</t>
        </is>
      </c>
      <c r="C33" s="16" t="inlineStr">
        <is>
          <t>+350</t>
        </is>
      </c>
      <c r="D33" s="16" t="inlineStr">
        <is>
          <t>+20.000</t>
        </is>
      </c>
      <c r="E33" s="16" t="inlineStr">
        <is>
          <t>+R$ 300bi</t>
        </is>
      </c>
      <c r="F33" s="17" t="inlineStr"/>
    </row>
    <row r="34" ht="20" customHeight="1">
      <c r="B34" s="18" t="inlineStr">
        <is>
          <t>Anos de historia</t>
        </is>
      </c>
      <c r="C34" s="18" t="inlineStr">
        <is>
          <t>Operacoes atendidas</t>
        </is>
      </c>
      <c r="D34" s="18" t="inlineStr">
        <is>
          <t>Profissionais impactados</t>
        </is>
      </c>
      <c r="E34" s="18" t="inlineStr">
        <is>
          <t>Assets Under Service</t>
        </is>
      </c>
      <c r="F34" s="17" t="inlineStr"/>
    </row>
    <row r="36">
      <c r="B36" s="6" t="inlineStr">
        <is>
          <t>EIXO JURIDICO</t>
        </is>
      </c>
    </row>
    <row r="37">
      <c r="B37" s="7" t="inlineStr">
        <is>
          <t>Juridico de A a Z para Advisors e Wealths</t>
        </is>
      </c>
    </row>
    <row r="38">
      <c r="B38" s="8" t="inlineStr">
        <is>
          <t>Estrutura juridica completa em 4 pilares interconectados, com seguranca regulatoria e clareza entre socios.</t>
        </is>
      </c>
    </row>
    <row r="40">
      <c r="B40" s="19" t="inlineStr">
        <is>
          <t>Contratos</t>
        </is>
      </c>
      <c r="C40" s="10" t="n"/>
      <c r="D40" s="19" t="inlineStr">
        <is>
          <t>Societario</t>
        </is>
      </c>
      <c r="E40" s="10" t="n"/>
    </row>
    <row r="41" ht="46" customHeight="1">
      <c r="B41" s="11" t="inlineStr">
        <is>
          <t>Diagnostico contratual, revisao de contratos com profissionais, contratos comerciais, parcerias e exclusividade.</t>
        </is>
      </c>
      <c r="C41" s="10" t="n"/>
      <c r="D41" s="11" t="inlineStr">
        <is>
          <t>Constituicao de holdings, arquitetura societaria do grupo, gestao continua de cap table e acordo de socios.</t>
        </is>
      </c>
      <c r="E41" s="10" t="n"/>
    </row>
    <row r="43">
      <c r="B43" s="19" t="inlineStr">
        <is>
          <t>Partnership</t>
        </is>
      </c>
      <c r="C43" s="10" t="n"/>
      <c r="D43" s="19" t="inlineStr">
        <is>
          <t>Compliance</t>
        </is>
      </c>
      <c r="E43" s="10" t="n"/>
    </row>
    <row r="44" ht="46" customHeight="1">
      <c r="B44" s="11" t="inlineStr">
        <is>
          <t>Plano de partnership do zero, valuation interno, modelagem de tese de liquidez e operacao das rodadas de admissao.</t>
        </is>
      </c>
      <c r="C44" s="10" t="n"/>
      <c r="D44" s="11" t="inlineStr">
        <is>
          <t>Compliance societario e trabalhista, politicas e manuais, treinamentos, reports e cumprimento de obrigacoes regulatorias.</t>
        </is>
      </c>
      <c r="E44" s="10" t="n"/>
    </row>
    <row r="47">
      <c r="B47" s="20" t="inlineStr">
        <is>
          <t>Quer implementar um partnership meritocratico e com seguranca juridica?</t>
        </is>
      </c>
      <c r="C47" s="14" t="n"/>
      <c r="D47" s="14" t="n"/>
      <c r="E47" s="14" t="n"/>
      <c r="F47" s="14" t="n"/>
    </row>
    <row r="48" ht="30" customHeight="1">
      <c r="B48" s="21" t="inlineStr">
        <is>
          <t>Agende um diagnostico com um dos nossos consultores. Analise da sua estrutura, identificacao de pontos de atencao e proposicao de caminhos sob medida.</t>
        </is>
      </c>
      <c r="C48" s="14" t="n"/>
      <c r="D48" s="14" t="n"/>
      <c r="E48" s="14" t="n"/>
      <c r="F48" s="14" t="n"/>
    </row>
    <row r="50">
      <c r="B50" s="22" t="inlineStr">
        <is>
          <t>Agendar diagnostico no WhatsApp: +55 48 99141-4406</t>
        </is>
      </c>
    </row>
    <row r="51">
      <c r="B51" s="22" t="inlineStr">
        <is>
          <t>Visitar site oficial: aawzpartners.com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D7AB"/>
  <mergeCells count="33">
    <mergeCell ref="B13:F14"/>
    <mergeCell ref="B47:F47"/>
    <mergeCell ref="B25:F25"/>
    <mergeCell ref="B31:F31"/>
    <mergeCell ref="B15:F16"/>
    <mergeCell ref="B22:F22"/>
    <mergeCell ref="B6:F7"/>
    <mergeCell ref="D40:E40"/>
    <mergeCell ref="B18:F18"/>
    <mergeCell ref="B27:F27"/>
    <mergeCell ref="B43:C43"/>
    <mergeCell ref="B21:F21"/>
    <mergeCell ref="D44:E44"/>
    <mergeCell ref="B2:F2"/>
    <mergeCell ref="B48:F48"/>
    <mergeCell ref="B23:F23"/>
    <mergeCell ref="D41:E41"/>
    <mergeCell ref="B44:C44"/>
    <mergeCell ref="B38:F38"/>
    <mergeCell ref="B10:F10"/>
    <mergeCell ref="B28:F28"/>
    <mergeCell ref="D43:E43"/>
    <mergeCell ref="B19:F19"/>
    <mergeCell ref="B37:F37"/>
    <mergeCell ref="B40:C40"/>
    <mergeCell ref="B30:F30"/>
    <mergeCell ref="B3:F4"/>
    <mergeCell ref="B24:F24"/>
    <mergeCell ref="B20:F20"/>
    <mergeCell ref="B5:F5"/>
    <mergeCell ref="B11:F12"/>
    <mergeCell ref="B41:C41"/>
    <mergeCell ref="B26:F26"/>
  </mergeCells>
  <hyperlinks>
    <hyperlink xmlns:r="http://schemas.openxmlformats.org/officeDocument/2006/relationships" ref="B50" r:id="rId1"/>
    <hyperlink xmlns:r="http://schemas.openxmlformats.org/officeDocument/2006/relationships" ref="B51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H81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30" customWidth="1" min="2" max="2"/>
    <col width="18" customWidth="1" min="3" max="3"/>
    <col width="16" customWidth="1" min="4" max="4"/>
    <col width="2" customWidth="1" min="5" max="5"/>
    <col width="22" customWidth="1" min="6" max="6"/>
    <col width="18" customWidth="1" min="7" max="7"/>
    <col width="16" customWidth="1" min="8" max="8"/>
    <col width="2.5" customWidth="1" min="9" max="9"/>
  </cols>
  <sheetData>
    <row r="2" ht="34" customHeight="1">
      <c r="B2" s="3" t="inlineStr">
        <is>
          <t>Calculadora de Equity AAWZ</t>
        </is>
      </c>
      <c r="C2" s="2" t="n"/>
      <c r="D2" s="2" t="n"/>
      <c r="E2" s="2" t="n"/>
      <c r="F2" s="2" t="n"/>
      <c r="G2" s="2" t="n"/>
      <c r="H2" s="2" t="n"/>
    </row>
    <row r="3" ht="24" customHeight="1">
      <c r="B3" s="8" t="inlineStr">
        <is>
          <t>Preencha apenas os campos em verde. Resultados, fases e graficos se atualizam sozinhos. Os campos especificos mudam conforme a modalidade.</t>
        </is>
      </c>
    </row>
    <row r="5">
      <c r="B5" s="23" t="inlineStr">
        <is>
          <t>Modalidade de partnership</t>
        </is>
      </c>
      <c r="C5" s="24" t="inlineStr">
        <is>
          <t>Aquisicao direta</t>
        </is>
      </c>
    </row>
    <row r="6">
      <c r="B6" s="23" t="inlineStr">
        <is>
          <t>Tipo de vesting (so no modo Vesting)</t>
        </is>
      </c>
      <c r="C6" s="24" t="inlineStr">
        <is>
          <t>Progressivo</t>
        </is>
      </c>
    </row>
    <row r="8">
      <c r="B8" s="6" t="inlineStr">
        <is>
          <t>PASSO 1</t>
        </is>
      </c>
    </row>
    <row r="9">
      <c r="B9" s="7" t="inlineStr">
        <is>
          <t>Configure os parametros</t>
        </is>
      </c>
    </row>
    <row r="11">
      <c r="B11" s="23" t="inlineStr">
        <is>
          <t>Valuation externo (mercado, M&amp;A, DCF)</t>
        </is>
      </c>
      <c r="C11" s="25" t="n">
        <v>50000000</v>
      </c>
    </row>
    <row r="12" ht="22" customHeight="1">
      <c r="B12" s="26" t="inlineStr">
        <is>
          <t>O que o mercado pagaria em saida real. Multiplos tipicos: 6 a 10x EBITDA, ou 0,5% a 3% de AuC.</t>
        </is>
      </c>
    </row>
    <row r="13">
      <c r="B13" s="23" t="inlineStr">
        <is>
          <t>Multiplo de desconto interno</t>
        </is>
      </c>
      <c r="C13" s="27" t="n">
        <v>4</v>
      </c>
    </row>
    <row r="14" ht="22" customHeight="1">
      <c r="B14" s="26" t="inlineStr">
        <is>
          <t>Comum no mercado: 3 a 4. O interno e o preco efetivo de entrada do socio.</t>
        </is>
      </c>
    </row>
    <row r="15">
      <c r="B15" s="23" t="inlineStr">
        <is>
          <t>CAGR esperado da sociedade (% a.a.)</t>
        </is>
      </c>
      <c r="C15" s="28" t="n">
        <v>20</v>
      </c>
    </row>
    <row r="16" ht="22" customHeight="1">
      <c r="B16" s="26" t="inlineStr">
        <is>
          <t>Taxa de crescimento anual composto da empresa.</t>
        </is>
      </c>
    </row>
    <row r="17">
      <c r="B17" s="23" t="inlineStr">
        <is>
          <t>Participacao societaria total (% capital)</t>
        </is>
      </c>
      <c r="C17" s="29" t="n">
        <v>3</v>
      </c>
    </row>
    <row r="18" ht="22" customHeight="1">
      <c r="B18" s="26" t="inlineStr">
        <is>
          <t>Quanto da empresa sera seu na proposta.</t>
        </is>
      </c>
    </row>
    <row r="19">
      <c r="B19" s="23" t="inlineStr">
        <is>
          <t>Horizonte de simulacao (anos)</t>
        </is>
      </c>
      <c r="C19" s="30" t="n">
        <v>10</v>
      </c>
    </row>
    <row r="20" ht="22" customHeight="1">
      <c r="B20" s="26" t="inlineStr">
        <is>
          <t>Por quantos anos quer ver a evolucao. Maximo: 20.</t>
        </is>
      </c>
    </row>
    <row r="21">
      <c r="B21" s="23" t="inlineStr">
        <is>
          <t>Taxa CDI projetada (% a.a.)</t>
        </is>
      </c>
      <c r="C21" s="28" t="n">
        <v>13</v>
      </c>
    </row>
    <row r="22" ht="22" customHeight="1">
      <c r="B22" s="26" t="inlineStr">
        <is>
          <t>CDI medio esperado no horizonte. 2026 estimado em 13%.</t>
        </is>
      </c>
    </row>
    <row r="23">
      <c r="B23" s="23" t="inlineStr">
        <is>
          <t>[Aquisicao] Prazo de lock-up (meses)</t>
        </is>
      </c>
      <c r="C23" s="31" t="n">
        <v>36</v>
      </c>
    </row>
    <row r="24" ht="22" customHeight="1">
      <c r="B24" s="26" t="inlineStr">
        <is>
          <t>Periodo sem liquidez apos a compra. Padrao: 36 a 60 meses.</t>
        </is>
      </c>
    </row>
    <row r="25">
      <c r="B25" s="23" t="inlineStr">
        <is>
          <t>[Vesting] Periodo total de vesting (meses)</t>
        </is>
      </c>
      <c r="C25" s="31" t="n">
        <v>48</v>
      </c>
    </row>
    <row r="26" ht="22" customHeight="1">
      <c r="B26" s="26" t="inlineStr">
        <is>
          <t>Padrao de mercado: 48 meses (4 anos).</t>
        </is>
      </c>
    </row>
    <row r="27">
      <c r="B27" s="23" t="inlineStr">
        <is>
          <t>[Vesting] Cliff (meses)</t>
        </is>
      </c>
      <c r="C27" s="31" t="n">
        <v>12</v>
      </c>
    </row>
    <row r="28" ht="22" customHeight="1">
      <c r="B28" s="26" t="inlineStr">
        <is>
          <t>Periodo inicial sem nenhuma aquisicao. Apos o cliff, libera a primeira parcela.</t>
        </is>
      </c>
    </row>
    <row r="29">
      <c r="B29" s="23" t="inlineStr">
        <is>
          <t>[Vesting] % liberada no cliff</t>
        </is>
      </c>
      <c r="C29" s="32" t="n">
        <v>25</v>
      </c>
    </row>
    <row r="30" ht="22" customHeight="1">
      <c r="B30" s="26" t="inlineStr">
        <is>
          <t>Um cliff de 12 meses costuma liberar 25% (proporcional a 12 de 48).</t>
        </is>
      </c>
    </row>
    <row r="31">
      <c r="B31" s="23" t="inlineStr">
        <is>
          <t>[Vesting] Lock-up apos vesting completo (meses)</t>
        </is>
      </c>
      <c r="C31" s="31" t="n">
        <v>0</v>
      </c>
    </row>
    <row r="32" ht="22" customHeight="1">
      <c r="B32" s="26" t="inlineStr">
        <is>
          <t>Opcional. Use 0 para liquidez imediata apos o termino do vesting.</t>
        </is>
      </c>
    </row>
    <row r="34">
      <c r="B34" s="6" t="inlineStr">
        <is>
          <t>PASSO 2</t>
        </is>
      </c>
    </row>
    <row r="35">
      <c r="B35" s="7" t="inlineStr">
        <is>
          <t>Resumo da simulacao</t>
        </is>
      </c>
    </row>
    <row r="37">
      <c r="B37" s="33" t="inlineStr">
        <is>
          <t>Modalidade</t>
        </is>
      </c>
      <c r="C37" s="34">
        <f>Modalidade</f>
        <v/>
      </c>
    </row>
    <row r="38">
      <c r="B38" s="33" t="inlineStr">
        <is>
          <t>Participacao alvo</t>
        </is>
      </c>
      <c r="C38" s="35">
        <f>Part/100</f>
        <v/>
      </c>
    </row>
    <row r="39">
      <c r="B39" s="33" t="inlineStr">
        <is>
          <t>Valuation externo</t>
        </is>
      </c>
      <c r="C39" s="36">
        <f>Val_Ext</f>
        <v/>
      </c>
    </row>
    <row r="40">
      <c r="B40" s="33" t="inlineStr">
        <is>
          <t>Multiplo de desconto</t>
        </is>
      </c>
      <c r="C40" s="37">
        <f>Mult_Desc</f>
        <v/>
      </c>
    </row>
    <row r="41">
      <c r="B41" s="33" t="inlineStr">
        <is>
          <t>Periodo</t>
        </is>
      </c>
      <c r="C41" s="34">
        <f>IF(Modalidade="Aquisicao direta",Lockup_Aq&amp;" meses de lock-up",Vest_Total&amp;" meses de vesting ("&amp;Vest_Tipo&amp;")")</f>
        <v/>
      </c>
    </row>
    <row r="42">
      <c r="B42" s="33" t="inlineStr">
        <is>
          <t>Horizonte</t>
        </is>
      </c>
      <c r="C42" s="34">
        <f>Horizonte&amp;" anos"</f>
        <v/>
      </c>
    </row>
    <row r="44">
      <c r="B44" s="7" t="inlineStr">
        <is>
          <t>Suas saidas em cada fase</t>
        </is>
      </c>
    </row>
    <row r="45">
      <c r="B45" s="38" t="inlineStr">
        <is>
          <t>Fase</t>
        </is>
      </c>
      <c r="C45" s="38" t="inlineStr">
        <is>
          <t>Quando</t>
        </is>
      </c>
      <c r="F45" s="38" t="inlineStr">
        <is>
          <t>Como e calculado</t>
        </is>
      </c>
      <c r="G45" s="17" t="n"/>
      <c r="H45" s="17" t="n"/>
    </row>
    <row r="46" ht="30" customHeight="1">
      <c r="B46" s="39">
        <f>IF(Modalidade="Aquisicao direta","1. Saida durante o lock-up","1. Saida durante o vesting")</f>
        <v/>
      </c>
      <c r="C46" s="40">
        <f>IF(Modalidade="Aquisicao direta","Antes do mes "&amp;Lockup_Aq,"Antes do mes "&amp;Vest_Total)</f>
        <v/>
      </c>
      <c r="F46" s="41">
        <f>IF(Modalidade="Aquisicao direta","Valor de aquisicao corrigido pelo CDI","% vestido x valuation interno")</f>
        <v/>
      </c>
      <c r="G46" s="42" t="n"/>
      <c r="H46" s="42" t="n"/>
    </row>
    <row r="47" ht="30" customHeight="1">
      <c r="B47" s="39">
        <f>IF(Modalidade="Aquisicao direta","2. Saida apos o lock-up",IF(Lockup_Vest&gt;0,"2. Apos vesting (lock-up adicional)","2. Pos-vesting"))</f>
        <v/>
      </c>
      <c r="C47" s="40">
        <f>IF(Modalidade="Aquisicao direta","A partir do mes "&amp;Lockup_Aq,IF(Lockup_Vest&gt;0,"Do mes "&amp;Vest_Total&amp;" ao "&amp;(Vest_Total+Lockup_Vest),"A partir do mes "&amp;Vest_Total))</f>
        <v/>
      </c>
      <c r="F47" s="41">
        <f>IF(Modalidade="Aquisicao direta","Participacao x valuation interno atualizado",IF(Lockup_Vest&gt;0,"Valor ao fim do vesting corrigido pelo CDI","Participacao x valuation interno atualizado"))</f>
        <v/>
      </c>
      <c r="G47" s="42" t="n"/>
      <c r="H47" s="42" t="n"/>
    </row>
    <row r="48" ht="30" customHeight="1">
      <c r="B48" s="43">
        <f>"* Evento de liquidez"</f>
        <v/>
      </c>
      <c r="C48" s="44">
        <f>"M&amp;A, IPO ou rodada de captacao"</f>
        <v/>
      </c>
      <c r="F48" s="45">
        <f>IF(Modalidade="Aquisicao direta","Participacao x valuation externo atualizado","% vestido x valuation externo atualizado")</f>
        <v/>
      </c>
      <c r="G48" s="14" t="n"/>
      <c r="H48" s="14" t="n"/>
    </row>
    <row r="50">
      <c r="B50" s="7" t="inlineStr">
        <is>
          <t>Resumo financeiro</t>
        </is>
      </c>
    </row>
    <row r="51">
      <c r="B51" s="46" t="inlineStr">
        <is>
          <t>Hoje</t>
        </is>
      </c>
      <c r="F51" s="46" t="inlineStr">
        <is>
          <t>No horizonte</t>
        </is>
      </c>
    </row>
    <row r="52">
      <c r="B52" s="47" t="inlineStr">
        <is>
          <t>Voce desembolsa</t>
        </is>
      </c>
      <c r="F52" s="47" t="inlineStr">
        <is>
          <t>Participacao (interno atualizado)</t>
        </is>
      </c>
    </row>
    <row r="53">
      <c r="B53" s="48">
        <f>_Motor!P2</f>
        <v/>
      </c>
      <c r="F53" s="48">
        <f>_Motor!P3</f>
        <v/>
      </c>
    </row>
    <row r="54">
      <c r="B54" s="49">
        <f>IF(Modalidade="Aquisicao direta","Skin in the game real","Entrada bonificada, sem desembolso")</f>
        <v/>
      </c>
      <c r="F54" s="49" t="inlineStr">
        <is>
          <t>Saida em fluxo normal apos lock-up ou vesting</t>
        </is>
      </c>
    </row>
    <row r="55">
      <c r="B55" s="50" t="inlineStr">
        <is>
          <t>Participacao (externo, em deal)</t>
        </is>
      </c>
      <c r="F55" s="51" t="inlineStr">
        <is>
          <t>Se aplicasse o desembolso no CDI puro, teria</t>
        </is>
      </c>
    </row>
    <row r="56">
      <c r="B56" s="52">
        <f>_Motor!P4</f>
        <v/>
      </c>
      <c r="F56" s="53">
        <f>IF(Modalidade="Aquisicao direta",_Motor!P5,"nao se aplica")</f>
        <v/>
      </c>
    </row>
    <row r="57">
      <c r="B57" s="54">
        <f>"Em "&amp;Horizonte&amp;" anos, CAGR de "&amp;CAGR&amp;"%"</f>
        <v/>
      </c>
      <c r="F57" s="55" t="inlineStr">
        <is>
          <t>Comparativo de custo de oportunidade (so Aquisicao)</t>
        </is>
      </c>
    </row>
    <row r="59">
      <c r="B59" s="7" t="inlineStr">
        <is>
          <t>Evolucao ano a ano (saida em fluxo normal)</t>
        </is>
      </c>
    </row>
    <row r="60">
      <c r="B60" s="56" t="inlineStr">
        <is>
          <t>Ano</t>
        </is>
      </c>
      <c r="C60" s="56" t="inlineStr">
        <is>
          <t>Valor (fluxo normal)</t>
        </is>
      </c>
      <c r="D60" s="56" t="inlineStr">
        <is>
          <t>Fase</t>
        </is>
      </c>
    </row>
    <row r="61">
      <c r="B61" s="57">
        <f>IF(0&gt;Horizonte,"","Ano "&amp;0)</f>
        <v/>
      </c>
      <c r="C61" s="58">
        <f>IF(0&gt;Horizonte,"",_Motor!H16)</f>
        <v/>
      </c>
      <c r="D61" s="57">
        <f>_Motor!K16</f>
        <v/>
      </c>
    </row>
    <row r="62">
      <c r="B62" s="57">
        <f>IF(1&gt;Horizonte,"","Ano "&amp;1)</f>
        <v/>
      </c>
      <c r="C62" s="58">
        <f>IF(1&gt;Horizonte,"",_Motor!H17)</f>
        <v/>
      </c>
      <c r="D62" s="57">
        <f>_Motor!K17</f>
        <v/>
      </c>
    </row>
    <row r="63">
      <c r="B63" s="57">
        <f>IF(2&gt;Horizonte,"","Ano "&amp;2)</f>
        <v/>
      </c>
      <c r="C63" s="58">
        <f>IF(2&gt;Horizonte,"",_Motor!H18)</f>
        <v/>
      </c>
      <c r="D63" s="57">
        <f>_Motor!K18</f>
        <v/>
      </c>
    </row>
    <row r="64">
      <c r="B64" s="57">
        <f>IF(3&gt;Horizonte,"","Ano "&amp;3)</f>
        <v/>
      </c>
      <c r="C64" s="58">
        <f>IF(3&gt;Horizonte,"",_Motor!H19)</f>
        <v/>
      </c>
      <c r="D64" s="57">
        <f>_Motor!K19</f>
        <v/>
      </c>
    </row>
    <row r="65">
      <c r="B65" s="57">
        <f>IF(4&gt;Horizonte,"","Ano "&amp;4)</f>
        <v/>
      </c>
      <c r="C65" s="58">
        <f>IF(4&gt;Horizonte,"",_Motor!H20)</f>
        <v/>
      </c>
      <c r="D65" s="57">
        <f>_Motor!K20</f>
        <v/>
      </c>
    </row>
    <row r="66">
      <c r="B66" s="57">
        <f>IF(5&gt;Horizonte,"","Ano "&amp;5)</f>
        <v/>
      </c>
      <c r="C66" s="58">
        <f>IF(5&gt;Horizonte,"",_Motor!H21)</f>
        <v/>
      </c>
      <c r="D66" s="57">
        <f>_Motor!K21</f>
        <v/>
      </c>
    </row>
    <row r="67">
      <c r="B67" s="57">
        <f>IF(6&gt;Horizonte,"","Ano "&amp;6)</f>
        <v/>
      </c>
      <c r="C67" s="58">
        <f>IF(6&gt;Horizonte,"",_Motor!H22)</f>
        <v/>
      </c>
      <c r="D67" s="57">
        <f>_Motor!K22</f>
        <v/>
      </c>
    </row>
    <row r="68">
      <c r="B68" s="57">
        <f>IF(7&gt;Horizonte,"","Ano "&amp;7)</f>
        <v/>
      </c>
      <c r="C68" s="58">
        <f>IF(7&gt;Horizonte,"",_Motor!H23)</f>
        <v/>
      </c>
      <c r="D68" s="57">
        <f>_Motor!K23</f>
        <v/>
      </c>
    </row>
    <row r="69">
      <c r="B69" s="57">
        <f>IF(8&gt;Horizonte,"","Ano "&amp;8)</f>
        <v/>
      </c>
      <c r="C69" s="58">
        <f>IF(8&gt;Horizonte,"",_Motor!H24)</f>
        <v/>
      </c>
      <c r="D69" s="57">
        <f>_Motor!K24</f>
        <v/>
      </c>
    </row>
    <row r="70">
      <c r="B70" s="57">
        <f>IF(9&gt;Horizonte,"","Ano "&amp;9)</f>
        <v/>
      </c>
      <c r="C70" s="58">
        <f>IF(9&gt;Horizonte,"",_Motor!H25)</f>
        <v/>
      </c>
      <c r="D70" s="57">
        <f>_Motor!K25</f>
        <v/>
      </c>
    </row>
    <row r="71">
      <c r="B71" s="57">
        <f>IF(10&gt;Horizonte,"","Ano "&amp;10)</f>
        <v/>
      </c>
      <c r="C71" s="58">
        <f>IF(10&gt;Horizonte,"",_Motor!H26)</f>
        <v/>
      </c>
      <c r="D71" s="57">
        <f>_Motor!K26</f>
        <v/>
      </c>
    </row>
    <row r="72">
      <c r="B72" s="57">
        <f>IF(11&gt;Horizonte,"","Ano "&amp;11)</f>
        <v/>
      </c>
      <c r="C72" s="58">
        <f>IF(11&gt;Horizonte,"",_Motor!H27)</f>
        <v/>
      </c>
      <c r="D72" s="57">
        <f>_Motor!K27</f>
        <v/>
      </c>
    </row>
    <row r="73">
      <c r="B73" s="57">
        <f>IF(12&gt;Horizonte,"","Ano "&amp;12)</f>
        <v/>
      </c>
      <c r="C73" s="58">
        <f>IF(12&gt;Horizonte,"",_Motor!H28)</f>
        <v/>
      </c>
      <c r="D73" s="57">
        <f>_Motor!K28</f>
        <v/>
      </c>
    </row>
    <row r="74">
      <c r="B74" s="57">
        <f>IF(13&gt;Horizonte,"","Ano "&amp;13)</f>
        <v/>
      </c>
      <c r="C74" s="58">
        <f>IF(13&gt;Horizonte,"",_Motor!H29)</f>
        <v/>
      </c>
      <c r="D74" s="57">
        <f>_Motor!K29</f>
        <v/>
      </c>
    </row>
    <row r="75">
      <c r="B75" s="57">
        <f>IF(14&gt;Horizonte,"","Ano "&amp;14)</f>
        <v/>
      </c>
      <c r="C75" s="58">
        <f>IF(14&gt;Horizonte,"",_Motor!H30)</f>
        <v/>
      </c>
      <c r="D75" s="57">
        <f>_Motor!K30</f>
        <v/>
      </c>
    </row>
    <row r="76">
      <c r="B76" s="57">
        <f>IF(15&gt;Horizonte,"","Ano "&amp;15)</f>
        <v/>
      </c>
      <c r="C76" s="58">
        <f>IF(15&gt;Horizonte,"",_Motor!H31)</f>
        <v/>
      </c>
      <c r="D76" s="57">
        <f>_Motor!K31</f>
        <v/>
      </c>
    </row>
    <row r="77">
      <c r="B77" s="57">
        <f>IF(16&gt;Horizonte,"","Ano "&amp;16)</f>
        <v/>
      </c>
      <c r="C77" s="58">
        <f>IF(16&gt;Horizonte,"",_Motor!H32)</f>
        <v/>
      </c>
      <c r="D77" s="57">
        <f>_Motor!K32</f>
        <v/>
      </c>
    </row>
    <row r="78">
      <c r="B78" s="57">
        <f>IF(17&gt;Horizonte,"","Ano "&amp;17)</f>
        <v/>
      </c>
      <c r="C78" s="58">
        <f>IF(17&gt;Horizonte,"",_Motor!H33)</f>
        <v/>
      </c>
      <c r="D78" s="57">
        <f>_Motor!K33</f>
        <v/>
      </c>
    </row>
    <row r="79">
      <c r="B79" s="57">
        <f>IF(18&gt;Horizonte,"","Ano "&amp;18)</f>
        <v/>
      </c>
      <c r="C79" s="58">
        <f>IF(18&gt;Horizonte,"",_Motor!H34)</f>
        <v/>
      </c>
      <c r="D79" s="57">
        <f>_Motor!K34</f>
        <v/>
      </c>
    </row>
    <row r="80">
      <c r="B80" s="57">
        <f>IF(19&gt;Horizonte,"","Ano "&amp;19)</f>
        <v/>
      </c>
      <c r="C80" s="58">
        <f>IF(19&gt;Horizonte,"",_Motor!H35)</f>
        <v/>
      </c>
      <c r="D80" s="57">
        <f>_Motor!K35</f>
        <v/>
      </c>
    </row>
    <row r="81">
      <c r="B81" s="57">
        <f>IF(20&gt;Horizonte,"","Ano "&amp;20)</f>
        <v/>
      </c>
      <c r="C81" s="58">
        <f>IF(20&gt;Horizonte,"",_Motor!H36)</f>
        <v/>
      </c>
      <c r="D81" s="57">
        <f>_Motor!K36</f>
        <v/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D7AB"/>
  <mergeCells count="17">
    <mergeCell ref="B24:C24"/>
    <mergeCell ref="B16:C16"/>
    <mergeCell ref="B30:C30"/>
    <mergeCell ref="F46:H46"/>
    <mergeCell ref="F48:H48"/>
    <mergeCell ref="F45:H45"/>
    <mergeCell ref="B20:C20"/>
    <mergeCell ref="B28:C28"/>
    <mergeCell ref="B22:C22"/>
    <mergeCell ref="B14:C14"/>
    <mergeCell ref="B2:H2"/>
    <mergeCell ref="B32:C32"/>
    <mergeCell ref="B26:C26"/>
    <mergeCell ref="B18:C18"/>
    <mergeCell ref="B3:H3"/>
    <mergeCell ref="F47:H47"/>
    <mergeCell ref="B12:C12"/>
  </mergeCells>
  <dataValidations count="2">
    <dataValidation sqref="C5" showDropDown="0" showInputMessage="0" showErrorMessage="0" allowBlank="0" type="list">
      <formula1>"Aquisicao direta,Vesting bonificado"</formula1>
    </dataValidation>
    <dataValidation sqref="C6" showDropDown="0" showInputMessage="0" showErrorMessage="0" allowBlank="0" type="list">
      <formula1>"Progressivo,Unico ao final"</formula1>
    </dataValidation>
  </dataValidation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255"/>
  <sheetViews>
    <sheetView workbookViewId="0">
      <selection activeCell="A1" sqref="A1"/>
    </sheetView>
  </sheetViews>
  <sheetFormatPr baseColWidth="8" defaultRowHeight="15"/>
  <sheetData>
    <row r="1"/>
    <row r="2">
      <c r="B2" t="inlineStr">
        <is>
          <t>CDI_M</t>
        </is>
      </c>
      <c r="C2">
        <f>(1+CDI/100)^(1/12)-1</f>
        <v/>
      </c>
      <c r="O2" t="inlineStr">
        <is>
          <t>kpi_desembolso</t>
        </is>
      </c>
      <c r="P2" s="59">
        <f>custoAq</f>
        <v/>
      </c>
    </row>
    <row r="3">
      <c r="B3" t="inlineStr">
        <is>
          <t>CAGR_M</t>
        </is>
      </c>
      <c r="C3">
        <f>(1+CAGR/100)^(1/12)-1</f>
        <v/>
      </c>
      <c r="O3" t="inlineStr">
        <is>
          <t>kpi_int_horizonte</t>
        </is>
      </c>
      <c r="P3" s="59">
        <f>INDEX($C$16:$C$255,Horizonte_M)</f>
        <v/>
      </c>
    </row>
    <row r="4">
      <c r="B4" t="inlineStr">
        <is>
          <t>Val_Int</t>
        </is>
      </c>
      <c r="C4">
        <f>Val_Ext/Mult_Desc</f>
        <v/>
      </c>
      <c r="O4" t="inlineStr">
        <is>
          <t>kpi_ext_horizonte</t>
        </is>
      </c>
      <c r="P4" s="59">
        <f>INDEX($D$16:$D$255,Horizonte_M)</f>
        <v/>
      </c>
    </row>
    <row r="5">
      <c r="B5" t="inlineStr">
        <is>
          <t>PartExt</t>
        </is>
      </c>
      <c r="C5">
        <f>(Part/100)*Val_Ext</f>
        <v/>
      </c>
      <c r="O5" t="inlineStr">
        <is>
          <t>kpi_cdi_ref</t>
        </is>
      </c>
      <c r="P5" s="59">
        <f>INDEX($E$16:$E$255,Horizonte_M)</f>
        <v/>
      </c>
    </row>
    <row r="6">
      <c r="B6" t="inlineStr">
        <is>
          <t>PartInt</t>
        </is>
      </c>
      <c r="C6">
        <f>(Part/100)*Val_Int</f>
        <v/>
      </c>
    </row>
    <row r="7">
      <c r="B7" t="inlineStr">
        <is>
          <t>custoAq</t>
        </is>
      </c>
      <c r="C7">
        <f>IF(Modalidade="Aquisicao direta",PartInt,0)</f>
        <v/>
      </c>
    </row>
    <row r="8">
      <c r="B8" t="inlineStr">
        <is>
          <t>baseCDI</t>
        </is>
      </c>
      <c r="C8">
        <f>IF(custoAq&gt;0,custoAq,PartInt)</f>
        <v/>
      </c>
    </row>
    <row r="9">
      <c r="B9" t="inlineStr">
        <is>
          <t>Horizonte_M</t>
        </is>
      </c>
      <c r="C9">
        <f>Horizonte*12</f>
        <v/>
      </c>
    </row>
    <row r="10"/>
    <row r="11"/>
    <row r="12"/>
    <row r="13"/>
    <row r="14"/>
    <row r="15">
      <c r="A15" t="inlineStr">
        <is>
          <t>mes</t>
        </is>
      </c>
      <c r="B15" t="inlineStr">
        <is>
          <t>frac</t>
        </is>
      </c>
      <c r="C15" t="inlineStr">
        <is>
          <t>fluxoNormal</t>
        </is>
      </c>
      <c r="D15" t="inlineStr">
        <is>
          <t>liquidez</t>
        </is>
      </c>
      <c r="E15" t="inlineStr">
        <is>
          <t>cdi</t>
        </is>
      </c>
      <c r="G15" t="inlineStr">
        <is>
          <t>ano</t>
        </is>
      </c>
      <c r="H15" t="inlineStr">
        <is>
          <t>normal</t>
        </is>
      </c>
      <c r="I15" t="inlineStr">
        <is>
          <t>liquidez</t>
        </is>
      </c>
      <c r="J15" t="inlineStr">
        <is>
          <t>cdi</t>
        </is>
      </c>
      <c r="K15" t="inlineStr">
        <is>
          <t>fase</t>
        </is>
      </c>
      <c r="M15" t="inlineStr">
        <is>
          <t>mes</t>
        </is>
      </c>
      <c r="N15" t="inlineStr">
        <is>
          <t>pct_vestido</t>
        </is>
      </c>
    </row>
    <row r="16">
      <c r="A16" t="n">
        <v>1</v>
      </c>
      <c r="B16" s="60">
        <f>IF(Vest_Tipo="Unico ao final",IF(A16&gt;=Vest_Total,1,0),IF(A16&lt;Cliff,0,IF(A16&gt;=Vest_Total,1,IF(AND(Cliff&gt;0,Vest_Total&gt;Cliff),(Cliff_Pct/100)+(1-(Cliff_Pct/100))*((A16-Cliff)/(Vest_Total-Cliff)),(Cliff_Pct/100)))))</f>
        <v/>
      </c>
      <c r="C16" s="59">
        <f>IF(Modalidade="Aquisicao direta",IF(A16&lt;Lockup_Aq,custoAq*(1+CDI_M)^A16,PartInt*(1+CAGR_M)^A16),IF(A16&lt;Vest_Total,B16*PartInt*(1+CAGR_M)^A16,IF(A16&lt;Vest_Total+Lockup_Vest,(PartInt*(1+CAGR_M)^Vest_Total)*(1+CDI_M)^(A16-Vest_Total),PartInt*(1+CAGR_M)^A16)))</f>
        <v/>
      </c>
      <c r="D16" s="59">
        <f>IF(Modalidade="Aquisicao direta",PartExt*(1+CAGR_M)^A16,B16*PartExt*(1+CAGR_M)^A16)</f>
        <v/>
      </c>
      <c r="E16" s="59">
        <f>baseCDI*(1+CDI_M)^A16</f>
        <v/>
      </c>
      <c r="G16" t="n">
        <v>0</v>
      </c>
      <c r="H16" s="59">
        <f>IF(Modalidade="Aquisicao direta",custoAq,0)</f>
        <v/>
      </c>
      <c r="I16" s="59">
        <f>IF(Modalidade="Aquisicao direta",PartExt,PartExt*IF(Vest_Tipo="Unico ao final",IF(0&gt;=Vest_Total,1,0),IF(0&lt;Cliff,0,IF(0&gt;=Vest_Total,1,IF(AND(Cliff&gt;0,Vest_Total&gt;Cliff),(Cliff_Pct/100)+(1-(Cliff_Pct/100))*((0-Cliff)/(Vest_Total-Cliff)),(Cliff_Pct/100))))))</f>
        <v/>
      </c>
      <c r="J16" s="59">
        <f>baseCDI</f>
        <v/>
      </c>
      <c r="K16">
        <f>IF(0&gt;Horizonte,"",IF(Modalidade="Aquisicao direta",IF(0&lt;Lockup_Aq,"Lock-up","Pos-lock-up"),IF(0&lt;Vest_Total,"Vesting",IF(0&lt;Vest_Total+Lockup_Vest,"Lock-up pos-vesting","Pos-vesting"))))</f>
        <v/>
      </c>
      <c r="M16" t="n">
        <v>0</v>
      </c>
      <c r="N16">
        <f>IF(Modalidade="Aquisicao direta",100,100*IF(Vest_Tipo="Unico ao final",IF(0&gt;=Vest_Total,1,0),IF(0&lt;Cliff,0,IF(0&gt;=Vest_Total,1,IF(AND(Cliff&gt;0,Vest_Total&gt;Cliff),(Cliff_Pct/100)+(1-(Cliff_Pct/100))*((0-Cliff)/(Vest_Total-Cliff)),(Cliff_Pct/100))))))</f>
        <v/>
      </c>
    </row>
    <row r="17">
      <c r="A17" t="n">
        <v>2</v>
      </c>
      <c r="B17" s="60">
        <f>IF(Vest_Tipo="Unico ao final",IF(A17&gt;=Vest_Total,1,0),IF(A17&lt;Cliff,0,IF(A17&gt;=Vest_Total,1,IF(AND(Cliff&gt;0,Vest_Total&gt;Cliff),(Cliff_Pct/100)+(1-(Cliff_Pct/100))*((A17-Cliff)/(Vest_Total-Cliff)),(Cliff_Pct/100)))))</f>
        <v/>
      </c>
      <c r="C17" s="59">
        <f>IF(Modalidade="Aquisicao direta",IF(A17&lt;Lockup_Aq,custoAq*(1+CDI_M)^A17,PartInt*(1+CAGR_M)^A17),IF(A17&lt;Vest_Total,B17*PartInt*(1+CAGR_M)^A17,IF(A17&lt;Vest_Total+Lockup_Vest,(PartInt*(1+CAGR_M)^Vest_Total)*(1+CDI_M)^(A17-Vest_Total),PartInt*(1+CAGR_M)^A17)))</f>
        <v/>
      </c>
      <c r="D17" s="59">
        <f>IF(Modalidade="Aquisicao direta",PartExt*(1+CAGR_M)^A17,B17*PartExt*(1+CAGR_M)^A17)</f>
        <v/>
      </c>
      <c r="E17" s="59">
        <f>baseCDI*(1+CDI_M)^A17</f>
        <v/>
      </c>
      <c r="G17" t="n">
        <v>1</v>
      </c>
      <c r="H17" s="59">
        <f>IF(1&gt;Horizonte,NA(),INDEX($C$16:$C$255,1*12))</f>
        <v/>
      </c>
      <c r="I17" s="59">
        <f>IF(1&gt;Horizonte,NA(),INDEX($D$16:$D$255,1*12))</f>
        <v/>
      </c>
      <c r="J17" s="59">
        <f>IF(1&gt;Horizonte,NA(),INDEX($E$16:$E$255,1*12))</f>
        <v/>
      </c>
      <c r="K17">
        <f>IF(1&gt;Horizonte,"",IF(Modalidade="Aquisicao direta",IF(12&lt;Lockup_Aq,"Lock-up","Pos-lock-up"),IF(12&lt;Vest_Total,"Vesting",IF(12&lt;Vest_Total+Lockup_Vest,"Lock-up pos-vesting","Pos-vesting"))))</f>
        <v/>
      </c>
      <c r="M17" t="n">
        <v>4</v>
      </c>
      <c r="N17">
        <f>IF(Modalidade="Aquisicao direta",100,100*IF(Vest_Tipo="Unico ao final",IF(4&gt;=Vest_Total,1,0),IF(4&lt;Cliff,0,IF(4&gt;=Vest_Total,1,IF(AND(Cliff&gt;0,Vest_Total&gt;Cliff),(Cliff_Pct/100)+(1-(Cliff_Pct/100))*((4-Cliff)/(Vest_Total-Cliff)),(Cliff_Pct/100))))))</f>
        <v/>
      </c>
    </row>
    <row r="18">
      <c r="A18" t="n">
        <v>3</v>
      </c>
      <c r="B18" s="60">
        <f>IF(Vest_Tipo="Unico ao final",IF(A18&gt;=Vest_Total,1,0),IF(A18&lt;Cliff,0,IF(A18&gt;=Vest_Total,1,IF(AND(Cliff&gt;0,Vest_Total&gt;Cliff),(Cliff_Pct/100)+(1-(Cliff_Pct/100))*((A18-Cliff)/(Vest_Total-Cliff)),(Cliff_Pct/100)))))</f>
        <v/>
      </c>
      <c r="C18" s="59">
        <f>IF(Modalidade="Aquisicao direta",IF(A18&lt;Lockup_Aq,custoAq*(1+CDI_M)^A18,PartInt*(1+CAGR_M)^A18),IF(A18&lt;Vest_Total,B18*PartInt*(1+CAGR_M)^A18,IF(A18&lt;Vest_Total+Lockup_Vest,(PartInt*(1+CAGR_M)^Vest_Total)*(1+CDI_M)^(A18-Vest_Total),PartInt*(1+CAGR_M)^A18)))</f>
        <v/>
      </c>
      <c r="D18" s="59">
        <f>IF(Modalidade="Aquisicao direta",PartExt*(1+CAGR_M)^A18,B18*PartExt*(1+CAGR_M)^A18)</f>
        <v/>
      </c>
      <c r="E18" s="59">
        <f>baseCDI*(1+CDI_M)^A18</f>
        <v/>
      </c>
      <c r="G18" t="n">
        <v>2</v>
      </c>
      <c r="H18" s="59">
        <f>IF(2&gt;Horizonte,NA(),INDEX($C$16:$C$255,2*12))</f>
        <v/>
      </c>
      <c r="I18" s="59">
        <f>IF(2&gt;Horizonte,NA(),INDEX($D$16:$D$255,2*12))</f>
        <v/>
      </c>
      <c r="J18" s="59">
        <f>IF(2&gt;Horizonte,NA(),INDEX($E$16:$E$255,2*12))</f>
        <v/>
      </c>
      <c r="K18">
        <f>IF(2&gt;Horizonte,"",IF(Modalidade="Aquisicao direta",IF(24&lt;Lockup_Aq,"Lock-up","Pos-lock-up"),IF(24&lt;Vest_Total,"Vesting",IF(24&lt;Vest_Total+Lockup_Vest,"Lock-up pos-vesting","Pos-vesting"))))</f>
        <v/>
      </c>
      <c r="M18" t="n">
        <v>8</v>
      </c>
      <c r="N18">
        <f>IF(Modalidade="Aquisicao direta",100,100*IF(Vest_Tipo="Unico ao final",IF(8&gt;=Vest_Total,1,0),IF(8&lt;Cliff,0,IF(8&gt;=Vest_Total,1,IF(AND(Cliff&gt;0,Vest_Total&gt;Cliff),(Cliff_Pct/100)+(1-(Cliff_Pct/100))*((8-Cliff)/(Vest_Total-Cliff)),(Cliff_Pct/100))))))</f>
        <v/>
      </c>
    </row>
    <row r="19">
      <c r="A19" t="n">
        <v>4</v>
      </c>
      <c r="B19" s="60">
        <f>IF(Vest_Tipo="Unico ao final",IF(A19&gt;=Vest_Total,1,0),IF(A19&lt;Cliff,0,IF(A19&gt;=Vest_Total,1,IF(AND(Cliff&gt;0,Vest_Total&gt;Cliff),(Cliff_Pct/100)+(1-(Cliff_Pct/100))*((A19-Cliff)/(Vest_Total-Cliff)),(Cliff_Pct/100)))))</f>
        <v/>
      </c>
      <c r="C19" s="59">
        <f>IF(Modalidade="Aquisicao direta",IF(A19&lt;Lockup_Aq,custoAq*(1+CDI_M)^A19,PartInt*(1+CAGR_M)^A19),IF(A19&lt;Vest_Total,B19*PartInt*(1+CAGR_M)^A19,IF(A19&lt;Vest_Total+Lockup_Vest,(PartInt*(1+CAGR_M)^Vest_Total)*(1+CDI_M)^(A19-Vest_Total),PartInt*(1+CAGR_M)^A19)))</f>
        <v/>
      </c>
      <c r="D19" s="59">
        <f>IF(Modalidade="Aquisicao direta",PartExt*(1+CAGR_M)^A19,B19*PartExt*(1+CAGR_M)^A19)</f>
        <v/>
      </c>
      <c r="E19" s="59">
        <f>baseCDI*(1+CDI_M)^A19</f>
        <v/>
      </c>
      <c r="G19" t="n">
        <v>3</v>
      </c>
      <c r="H19" s="59">
        <f>IF(3&gt;Horizonte,NA(),INDEX($C$16:$C$255,3*12))</f>
        <v/>
      </c>
      <c r="I19" s="59">
        <f>IF(3&gt;Horizonte,NA(),INDEX($D$16:$D$255,3*12))</f>
        <v/>
      </c>
      <c r="J19" s="59">
        <f>IF(3&gt;Horizonte,NA(),INDEX($E$16:$E$255,3*12))</f>
        <v/>
      </c>
      <c r="K19">
        <f>IF(3&gt;Horizonte,"",IF(Modalidade="Aquisicao direta",IF(36&lt;Lockup_Aq,"Lock-up","Pos-lock-up"),IF(36&lt;Vest_Total,"Vesting",IF(36&lt;Vest_Total+Lockup_Vest,"Lock-up pos-vesting","Pos-vesting"))))</f>
        <v/>
      </c>
      <c r="M19" t="n">
        <v>12</v>
      </c>
      <c r="N19">
        <f>IF(Modalidade="Aquisicao direta",100,100*IF(Vest_Tipo="Unico ao final",IF(12&gt;=Vest_Total,1,0),IF(12&lt;Cliff,0,IF(12&gt;=Vest_Total,1,IF(AND(Cliff&gt;0,Vest_Total&gt;Cliff),(Cliff_Pct/100)+(1-(Cliff_Pct/100))*((12-Cliff)/(Vest_Total-Cliff)),(Cliff_Pct/100))))))</f>
        <v/>
      </c>
    </row>
    <row r="20">
      <c r="A20" t="n">
        <v>5</v>
      </c>
      <c r="B20" s="60">
        <f>IF(Vest_Tipo="Unico ao final",IF(A20&gt;=Vest_Total,1,0),IF(A20&lt;Cliff,0,IF(A20&gt;=Vest_Total,1,IF(AND(Cliff&gt;0,Vest_Total&gt;Cliff),(Cliff_Pct/100)+(1-(Cliff_Pct/100))*((A20-Cliff)/(Vest_Total-Cliff)),(Cliff_Pct/100)))))</f>
        <v/>
      </c>
      <c r="C20" s="59">
        <f>IF(Modalidade="Aquisicao direta",IF(A20&lt;Lockup_Aq,custoAq*(1+CDI_M)^A20,PartInt*(1+CAGR_M)^A20),IF(A20&lt;Vest_Total,B20*PartInt*(1+CAGR_M)^A20,IF(A20&lt;Vest_Total+Lockup_Vest,(PartInt*(1+CAGR_M)^Vest_Total)*(1+CDI_M)^(A20-Vest_Total),PartInt*(1+CAGR_M)^A20)))</f>
        <v/>
      </c>
      <c r="D20" s="59">
        <f>IF(Modalidade="Aquisicao direta",PartExt*(1+CAGR_M)^A20,B20*PartExt*(1+CAGR_M)^A20)</f>
        <v/>
      </c>
      <c r="E20" s="59">
        <f>baseCDI*(1+CDI_M)^A20</f>
        <v/>
      </c>
      <c r="G20" t="n">
        <v>4</v>
      </c>
      <c r="H20" s="59">
        <f>IF(4&gt;Horizonte,NA(),INDEX($C$16:$C$255,4*12))</f>
        <v/>
      </c>
      <c r="I20" s="59">
        <f>IF(4&gt;Horizonte,NA(),INDEX($D$16:$D$255,4*12))</f>
        <v/>
      </c>
      <c r="J20" s="59">
        <f>IF(4&gt;Horizonte,NA(),INDEX($E$16:$E$255,4*12))</f>
        <v/>
      </c>
      <c r="K20">
        <f>IF(4&gt;Horizonte,"",IF(Modalidade="Aquisicao direta",IF(48&lt;Lockup_Aq,"Lock-up","Pos-lock-up"),IF(48&lt;Vest_Total,"Vesting",IF(48&lt;Vest_Total+Lockup_Vest,"Lock-up pos-vesting","Pos-vesting"))))</f>
        <v/>
      </c>
      <c r="M20" t="n">
        <v>16</v>
      </c>
      <c r="N20">
        <f>IF(Modalidade="Aquisicao direta",100,100*IF(Vest_Tipo="Unico ao final",IF(16&gt;=Vest_Total,1,0),IF(16&lt;Cliff,0,IF(16&gt;=Vest_Total,1,IF(AND(Cliff&gt;0,Vest_Total&gt;Cliff),(Cliff_Pct/100)+(1-(Cliff_Pct/100))*((16-Cliff)/(Vest_Total-Cliff)),(Cliff_Pct/100))))))</f>
        <v/>
      </c>
    </row>
    <row r="21">
      <c r="A21" t="n">
        <v>6</v>
      </c>
      <c r="B21" s="60">
        <f>IF(Vest_Tipo="Unico ao final",IF(A21&gt;=Vest_Total,1,0),IF(A21&lt;Cliff,0,IF(A21&gt;=Vest_Total,1,IF(AND(Cliff&gt;0,Vest_Total&gt;Cliff),(Cliff_Pct/100)+(1-(Cliff_Pct/100))*((A21-Cliff)/(Vest_Total-Cliff)),(Cliff_Pct/100)))))</f>
        <v/>
      </c>
      <c r="C21" s="59">
        <f>IF(Modalidade="Aquisicao direta",IF(A21&lt;Lockup_Aq,custoAq*(1+CDI_M)^A21,PartInt*(1+CAGR_M)^A21),IF(A21&lt;Vest_Total,B21*PartInt*(1+CAGR_M)^A21,IF(A21&lt;Vest_Total+Lockup_Vest,(PartInt*(1+CAGR_M)^Vest_Total)*(1+CDI_M)^(A21-Vest_Total),PartInt*(1+CAGR_M)^A21)))</f>
        <v/>
      </c>
      <c r="D21" s="59">
        <f>IF(Modalidade="Aquisicao direta",PartExt*(1+CAGR_M)^A21,B21*PartExt*(1+CAGR_M)^A21)</f>
        <v/>
      </c>
      <c r="E21" s="59">
        <f>baseCDI*(1+CDI_M)^A21</f>
        <v/>
      </c>
      <c r="G21" t="n">
        <v>5</v>
      </c>
      <c r="H21" s="59">
        <f>IF(5&gt;Horizonte,NA(),INDEX($C$16:$C$255,5*12))</f>
        <v/>
      </c>
      <c r="I21" s="59">
        <f>IF(5&gt;Horizonte,NA(),INDEX($D$16:$D$255,5*12))</f>
        <v/>
      </c>
      <c r="J21" s="59">
        <f>IF(5&gt;Horizonte,NA(),INDEX($E$16:$E$255,5*12))</f>
        <v/>
      </c>
      <c r="K21">
        <f>IF(5&gt;Horizonte,"",IF(Modalidade="Aquisicao direta",IF(60&lt;Lockup_Aq,"Lock-up","Pos-lock-up"),IF(60&lt;Vest_Total,"Vesting",IF(60&lt;Vest_Total+Lockup_Vest,"Lock-up pos-vesting","Pos-vesting"))))</f>
        <v/>
      </c>
      <c r="M21" t="n">
        <v>20</v>
      </c>
      <c r="N21">
        <f>IF(Modalidade="Aquisicao direta",100,100*IF(Vest_Tipo="Unico ao final",IF(20&gt;=Vest_Total,1,0),IF(20&lt;Cliff,0,IF(20&gt;=Vest_Total,1,IF(AND(Cliff&gt;0,Vest_Total&gt;Cliff),(Cliff_Pct/100)+(1-(Cliff_Pct/100))*((20-Cliff)/(Vest_Total-Cliff)),(Cliff_Pct/100))))))</f>
        <v/>
      </c>
    </row>
    <row r="22">
      <c r="A22" t="n">
        <v>7</v>
      </c>
      <c r="B22" s="60">
        <f>IF(Vest_Tipo="Unico ao final",IF(A22&gt;=Vest_Total,1,0),IF(A22&lt;Cliff,0,IF(A22&gt;=Vest_Total,1,IF(AND(Cliff&gt;0,Vest_Total&gt;Cliff),(Cliff_Pct/100)+(1-(Cliff_Pct/100))*((A22-Cliff)/(Vest_Total-Cliff)),(Cliff_Pct/100)))))</f>
        <v/>
      </c>
      <c r="C22" s="59">
        <f>IF(Modalidade="Aquisicao direta",IF(A22&lt;Lockup_Aq,custoAq*(1+CDI_M)^A22,PartInt*(1+CAGR_M)^A22),IF(A22&lt;Vest_Total,B22*PartInt*(1+CAGR_M)^A22,IF(A22&lt;Vest_Total+Lockup_Vest,(PartInt*(1+CAGR_M)^Vest_Total)*(1+CDI_M)^(A22-Vest_Total),PartInt*(1+CAGR_M)^A22)))</f>
        <v/>
      </c>
      <c r="D22" s="59">
        <f>IF(Modalidade="Aquisicao direta",PartExt*(1+CAGR_M)^A22,B22*PartExt*(1+CAGR_M)^A22)</f>
        <v/>
      </c>
      <c r="E22" s="59">
        <f>baseCDI*(1+CDI_M)^A22</f>
        <v/>
      </c>
      <c r="G22" t="n">
        <v>6</v>
      </c>
      <c r="H22" s="59">
        <f>IF(6&gt;Horizonte,NA(),INDEX($C$16:$C$255,6*12))</f>
        <v/>
      </c>
      <c r="I22" s="59">
        <f>IF(6&gt;Horizonte,NA(),INDEX($D$16:$D$255,6*12))</f>
        <v/>
      </c>
      <c r="J22" s="59">
        <f>IF(6&gt;Horizonte,NA(),INDEX($E$16:$E$255,6*12))</f>
        <v/>
      </c>
      <c r="K22">
        <f>IF(6&gt;Horizonte,"",IF(Modalidade="Aquisicao direta",IF(72&lt;Lockup_Aq,"Lock-up","Pos-lock-up"),IF(72&lt;Vest_Total,"Vesting",IF(72&lt;Vest_Total+Lockup_Vest,"Lock-up pos-vesting","Pos-vesting"))))</f>
        <v/>
      </c>
      <c r="M22" t="n">
        <v>24</v>
      </c>
      <c r="N22">
        <f>IF(Modalidade="Aquisicao direta",100,100*IF(Vest_Tipo="Unico ao final",IF(24&gt;=Vest_Total,1,0),IF(24&lt;Cliff,0,IF(24&gt;=Vest_Total,1,IF(AND(Cliff&gt;0,Vest_Total&gt;Cliff),(Cliff_Pct/100)+(1-(Cliff_Pct/100))*((24-Cliff)/(Vest_Total-Cliff)),(Cliff_Pct/100))))))</f>
        <v/>
      </c>
    </row>
    <row r="23">
      <c r="A23" t="n">
        <v>8</v>
      </c>
      <c r="B23" s="60">
        <f>IF(Vest_Tipo="Unico ao final",IF(A23&gt;=Vest_Total,1,0),IF(A23&lt;Cliff,0,IF(A23&gt;=Vest_Total,1,IF(AND(Cliff&gt;0,Vest_Total&gt;Cliff),(Cliff_Pct/100)+(1-(Cliff_Pct/100))*((A23-Cliff)/(Vest_Total-Cliff)),(Cliff_Pct/100)))))</f>
        <v/>
      </c>
      <c r="C23" s="59">
        <f>IF(Modalidade="Aquisicao direta",IF(A23&lt;Lockup_Aq,custoAq*(1+CDI_M)^A23,PartInt*(1+CAGR_M)^A23),IF(A23&lt;Vest_Total,B23*PartInt*(1+CAGR_M)^A23,IF(A23&lt;Vest_Total+Lockup_Vest,(PartInt*(1+CAGR_M)^Vest_Total)*(1+CDI_M)^(A23-Vest_Total),PartInt*(1+CAGR_M)^A23)))</f>
        <v/>
      </c>
      <c r="D23" s="59">
        <f>IF(Modalidade="Aquisicao direta",PartExt*(1+CAGR_M)^A23,B23*PartExt*(1+CAGR_M)^A23)</f>
        <v/>
      </c>
      <c r="E23" s="59">
        <f>baseCDI*(1+CDI_M)^A23</f>
        <v/>
      </c>
      <c r="G23" t="n">
        <v>7</v>
      </c>
      <c r="H23" s="59">
        <f>IF(7&gt;Horizonte,NA(),INDEX($C$16:$C$255,7*12))</f>
        <v/>
      </c>
      <c r="I23" s="59">
        <f>IF(7&gt;Horizonte,NA(),INDEX($D$16:$D$255,7*12))</f>
        <v/>
      </c>
      <c r="J23" s="59">
        <f>IF(7&gt;Horizonte,NA(),INDEX($E$16:$E$255,7*12))</f>
        <v/>
      </c>
      <c r="K23">
        <f>IF(7&gt;Horizonte,"",IF(Modalidade="Aquisicao direta",IF(84&lt;Lockup_Aq,"Lock-up","Pos-lock-up"),IF(84&lt;Vest_Total,"Vesting",IF(84&lt;Vest_Total+Lockup_Vest,"Lock-up pos-vesting","Pos-vesting"))))</f>
        <v/>
      </c>
      <c r="M23" t="n">
        <v>28</v>
      </c>
      <c r="N23">
        <f>IF(Modalidade="Aquisicao direta",100,100*IF(Vest_Tipo="Unico ao final",IF(28&gt;=Vest_Total,1,0),IF(28&lt;Cliff,0,IF(28&gt;=Vest_Total,1,IF(AND(Cliff&gt;0,Vest_Total&gt;Cliff),(Cliff_Pct/100)+(1-(Cliff_Pct/100))*((28-Cliff)/(Vest_Total-Cliff)),(Cliff_Pct/100))))))</f>
        <v/>
      </c>
    </row>
    <row r="24">
      <c r="A24" t="n">
        <v>9</v>
      </c>
      <c r="B24" s="60">
        <f>IF(Vest_Tipo="Unico ao final",IF(A24&gt;=Vest_Total,1,0),IF(A24&lt;Cliff,0,IF(A24&gt;=Vest_Total,1,IF(AND(Cliff&gt;0,Vest_Total&gt;Cliff),(Cliff_Pct/100)+(1-(Cliff_Pct/100))*((A24-Cliff)/(Vest_Total-Cliff)),(Cliff_Pct/100)))))</f>
        <v/>
      </c>
      <c r="C24" s="59">
        <f>IF(Modalidade="Aquisicao direta",IF(A24&lt;Lockup_Aq,custoAq*(1+CDI_M)^A24,PartInt*(1+CAGR_M)^A24),IF(A24&lt;Vest_Total,B24*PartInt*(1+CAGR_M)^A24,IF(A24&lt;Vest_Total+Lockup_Vest,(PartInt*(1+CAGR_M)^Vest_Total)*(1+CDI_M)^(A24-Vest_Total),PartInt*(1+CAGR_M)^A24)))</f>
        <v/>
      </c>
      <c r="D24" s="59">
        <f>IF(Modalidade="Aquisicao direta",PartExt*(1+CAGR_M)^A24,B24*PartExt*(1+CAGR_M)^A24)</f>
        <v/>
      </c>
      <c r="E24" s="59">
        <f>baseCDI*(1+CDI_M)^A24</f>
        <v/>
      </c>
      <c r="G24" t="n">
        <v>8</v>
      </c>
      <c r="H24" s="59">
        <f>IF(8&gt;Horizonte,NA(),INDEX($C$16:$C$255,8*12))</f>
        <v/>
      </c>
      <c r="I24" s="59">
        <f>IF(8&gt;Horizonte,NA(),INDEX($D$16:$D$255,8*12))</f>
        <v/>
      </c>
      <c r="J24" s="59">
        <f>IF(8&gt;Horizonte,NA(),INDEX($E$16:$E$255,8*12))</f>
        <v/>
      </c>
      <c r="K24">
        <f>IF(8&gt;Horizonte,"",IF(Modalidade="Aquisicao direta",IF(96&lt;Lockup_Aq,"Lock-up","Pos-lock-up"),IF(96&lt;Vest_Total,"Vesting",IF(96&lt;Vest_Total+Lockup_Vest,"Lock-up pos-vesting","Pos-vesting"))))</f>
        <v/>
      </c>
      <c r="M24" t="n">
        <v>32</v>
      </c>
      <c r="N24">
        <f>IF(Modalidade="Aquisicao direta",100,100*IF(Vest_Tipo="Unico ao final",IF(32&gt;=Vest_Total,1,0),IF(32&lt;Cliff,0,IF(32&gt;=Vest_Total,1,IF(AND(Cliff&gt;0,Vest_Total&gt;Cliff),(Cliff_Pct/100)+(1-(Cliff_Pct/100))*((32-Cliff)/(Vest_Total-Cliff)),(Cliff_Pct/100))))))</f>
        <v/>
      </c>
    </row>
    <row r="25">
      <c r="A25" t="n">
        <v>10</v>
      </c>
      <c r="B25" s="60">
        <f>IF(Vest_Tipo="Unico ao final",IF(A25&gt;=Vest_Total,1,0),IF(A25&lt;Cliff,0,IF(A25&gt;=Vest_Total,1,IF(AND(Cliff&gt;0,Vest_Total&gt;Cliff),(Cliff_Pct/100)+(1-(Cliff_Pct/100))*((A25-Cliff)/(Vest_Total-Cliff)),(Cliff_Pct/100)))))</f>
        <v/>
      </c>
      <c r="C25" s="59">
        <f>IF(Modalidade="Aquisicao direta",IF(A25&lt;Lockup_Aq,custoAq*(1+CDI_M)^A25,PartInt*(1+CAGR_M)^A25),IF(A25&lt;Vest_Total,B25*PartInt*(1+CAGR_M)^A25,IF(A25&lt;Vest_Total+Lockup_Vest,(PartInt*(1+CAGR_M)^Vest_Total)*(1+CDI_M)^(A25-Vest_Total),PartInt*(1+CAGR_M)^A25)))</f>
        <v/>
      </c>
      <c r="D25" s="59">
        <f>IF(Modalidade="Aquisicao direta",PartExt*(1+CAGR_M)^A25,B25*PartExt*(1+CAGR_M)^A25)</f>
        <v/>
      </c>
      <c r="E25" s="59">
        <f>baseCDI*(1+CDI_M)^A25</f>
        <v/>
      </c>
      <c r="G25" t="n">
        <v>9</v>
      </c>
      <c r="H25" s="59">
        <f>IF(9&gt;Horizonte,NA(),INDEX($C$16:$C$255,9*12))</f>
        <v/>
      </c>
      <c r="I25" s="59">
        <f>IF(9&gt;Horizonte,NA(),INDEX($D$16:$D$255,9*12))</f>
        <v/>
      </c>
      <c r="J25" s="59">
        <f>IF(9&gt;Horizonte,NA(),INDEX($E$16:$E$255,9*12))</f>
        <v/>
      </c>
      <c r="K25">
        <f>IF(9&gt;Horizonte,"",IF(Modalidade="Aquisicao direta",IF(108&lt;Lockup_Aq,"Lock-up","Pos-lock-up"),IF(108&lt;Vest_Total,"Vesting",IF(108&lt;Vest_Total+Lockup_Vest,"Lock-up pos-vesting","Pos-vesting"))))</f>
        <v/>
      </c>
      <c r="M25" t="n">
        <v>36</v>
      </c>
      <c r="N25">
        <f>IF(Modalidade="Aquisicao direta",100,100*IF(Vest_Tipo="Unico ao final",IF(36&gt;=Vest_Total,1,0),IF(36&lt;Cliff,0,IF(36&gt;=Vest_Total,1,IF(AND(Cliff&gt;0,Vest_Total&gt;Cliff),(Cliff_Pct/100)+(1-(Cliff_Pct/100))*((36-Cliff)/(Vest_Total-Cliff)),(Cliff_Pct/100))))))</f>
        <v/>
      </c>
    </row>
    <row r="26">
      <c r="A26" t="n">
        <v>11</v>
      </c>
      <c r="B26" s="60">
        <f>IF(Vest_Tipo="Unico ao final",IF(A26&gt;=Vest_Total,1,0),IF(A26&lt;Cliff,0,IF(A26&gt;=Vest_Total,1,IF(AND(Cliff&gt;0,Vest_Total&gt;Cliff),(Cliff_Pct/100)+(1-(Cliff_Pct/100))*((A26-Cliff)/(Vest_Total-Cliff)),(Cliff_Pct/100)))))</f>
        <v/>
      </c>
      <c r="C26" s="59">
        <f>IF(Modalidade="Aquisicao direta",IF(A26&lt;Lockup_Aq,custoAq*(1+CDI_M)^A26,PartInt*(1+CAGR_M)^A26),IF(A26&lt;Vest_Total,B26*PartInt*(1+CAGR_M)^A26,IF(A26&lt;Vest_Total+Lockup_Vest,(PartInt*(1+CAGR_M)^Vest_Total)*(1+CDI_M)^(A26-Vest_Total),PartInt*(1+CAGR_M)^A26)))</f>
        <v/>
      </c>
      <c r="D26" s="59">
        <f>IF(Modalidade="Aquisicao direta",PartExt*(1+CAGR_M)^A26,B26*PartExt*(1+CAGR_M)^A26)</f>
        <v/>
      </c>
      <c r="E26" s="59">
        <f>baseCDI*(1+CDI_M)^A26</f>
        <v/>
      </c>
      <c r="G26" t="n">
        <v>10</v>
      </c>
      <c r="H26" s="59">
        <f>IF(10&gt;Horizonte,NA(),INDEX($C$16:$C$255,10*12))</f>
        <v/>
      </c>
      <c r="I26" s="59">
        <f>IF(10&gt;Horizonte,NA(),INDEX($D$16:$D$255,10*12))</f>
        <v/>
      </c>
      <c r="J26" s="59">
        <f>IF(10&gt;Horizonte,NA(),INDEX($E$16:$E$255,10*12))</f>
        <v/>
      </c>
      <c r="K26">
        <f>IF(10&gt;Horizonte,"",IF(Modalidade="Aquisicao direta",IF(120&lt;Lockup_Aq,"Lock-up","Pos-lock-up"),IF(120&lt;Vest_Total,"Vesting",IF(120&lt;Vest_Total+Lockup_Vest,"Lock-up pos-vesting","Pos-vesting"))))</f>
        <v/>
      </c>
      <c r="M26" t="n">
        <v>40</v>
      </c>
      <c r="N26">
        <f>IF(Modalidade="Aquisicao direta",100,100*IF(Vest_Tipo="Unico ao final",IF(40&gt;=Vest_Total,1,0),IF(40&lt;Cliff,0,IF(40&gt;=Vest_Total,1,IF(AND(Cliff&gt;0,Vest_Total&gt;Cliff),(Cliff_Pct/100)+(1-(Cliff_Pct/100))*((40-Cliff)/(Vest_Total-Cliff)),(Cliff_Pct/100))))))</f>
        <v/>
      </c>
    </row>
    <row r="27">
      <c r="A27" t="n">
        <v>12</v>
      </c>
      <c r="B27" s="60">
        <f>IF(Vest_Tipo="Unico ao final",IF(A27&gt;=Vest_Total,1,0),IF(A27&lt;Cliff,0,IF(A27&gt;=Vest_Total,1,IF(AND(Cliff&gt;0,Vest_Total&gt;Cliff),(Cliff_Pct/100)+(1-(Cliff_Pct/100))*((A27-Cliff)/(Vest_Total-Cliff)),(Cliff_Pct/100)))))</f>
        <v/>
      </c>
      <c r="C27" s="59">
        <f>IF(Modalidade="Aquisicao direta",IF(A27&lt;Lockup_Aq,custoAq*(1+CDI_M)^A27,PartInt*(1+CAGR_M)^A27),IF(A27&lt;Vest_Total,B27*PartInt*(1+CAGR_M)^A27,IF(A27&lt;Vest_Total+Lockup_Vest,(PartInt*(1+CAGR_M)^Vest_Total)*(1+CDI_M)^(A27-Vest_Total),PartInt*(1+CAGR_M)^A27)))</f>
        <v/>
      </c>
      <c r="D27" s="59">
        <f>IF(Modalidade="Aquisicao direta",PartExt*(1+CAGR_M)^A27,B27*PartExt*(1+CAGR_M)^A27)</f>
        <v/>
      </c>
      <c r="E27" s="59">
        <f>baseCDI*(1+CDI_M)^A27</f>
        <v/>
      </c>
      <c r="G27" t="n">
        <v>11</v>
      </c>
      <c r="H27" s="59">
        <f>IF(11&gt;Horizonte,NA(),INDEX($C$16:$C$255,11*12))</f>
        <v/>
      </c>
      <c r="I27" s="59">
        <f>IF(11&gt;Horizonte,NA(),INDEX($D$16:$D$255,11*12))</f>
        <v/>
      </c>
      <c r="J27" s="59">
        <f>IF(11&gt;Horizonte,NA(),INDEX($E$16:$E$255,11*12))</f>
        <v/>
      </c>
      <c r="K27">
        <f>IF(11&gt;Horizonte,"",IF(Modalidade="Aquisicao direta",IF(132&lt;Lockup_Aq,"Lock-up","Pos-lock-up"),IF(132&lt;Vest_Total,"Vesting",IF(132&lt;Vest_Total+Lockup_Vest,"Lock-up pos-vesting","Pos-vesting"))))</f>
        <v/>
      </c>
      <c r="M27" t="n">
        <v>44</v>
      </c>
      <c r="N27">
        <f>IF(Modalidade="Aquisicao direta",100,100*IF(Vest_Tipo="Unico ao final",IF(44&gt;=Vest_Total,1,0),IF(44&lt;Cliff,0,IF(44&gt;=Vest_Total,1,IF(AND(Cliff&gt;0,Vest_Total&gt;Cliff),(Cliff_Pct/100)+(1-(Cliff_Pct/100))*((44-Cliff)/(Vest_Total-Cliff)),(Cliff_Pct/100))))))</f>
        <v/>
      </c>
    </row>
    <row r="28">
      <c r="A28" t="n">
        <v>13</v>
      </c>
      <c r="B28" s="60">
        <f>IF(Vest_Tipo="Unico ao final",IF(A28&gt;=Vest_Total,1,0),IF(A28&lt;Cliff,0,IF(A28&gt;=Vest_Total,1,IF(AND(Cliff&gt;0,Vest_Total&gt;Cliff),(Cliff_Pct/100)+(1-(Cliff_Pct/100))*((A28-Cliff)/(Vest_Total-Cliff)),(Cliff_Pct/100)))))</f>
        <v/>
      </c>
      <c r="C28" s="59">
        <f>IF(Modalidade="Aquisicao direta",IF(A28&lt;Lockup_Aq,custoAq*(1+CDI_M)^A28,PartInt*(1+CAGR_M)^A28),IF(A28&lt;Vest_Total,B28*PartInt*(1+CAGR_M)^A28,IF(A28&lt;Vest_Total+Lockup_Vest,(PartInt*(1+CAGR_M)^Vest_Total)*(1+CDI_M)^(A28-Vest_Total),PartInt*(1+CAGR_M)^A28)))</f>
        <v/>
      </c>
      <c r="D28" s="59">
        <f>IF(Modalidade="Aquisicao direta",PartExt*(1+CAGR_M)^A28,B28*PartExt*(1+CAGR_M)^A28)</f>
        <v/>
      </c>
      <c r="E28" s="59">
        <f>baseCDI*(1+CDI_M)^A28</f>
        <v/>
      </c>
      <c r="G28" t="n">
        <v>12</v>
      </c>
      <c r="H28" s="59">
        <f>IF(12&gt;Horizonte,NA(),INDEX($C$16:$C$255,12*12))</f>
        <v/>
      </c>
      <c r="I28" s="59">
        <f>IF(12&gt;Horizonte,NA(),INDEX($D$16:$D$255,12*12))</f>
        <v/>
      </c>
      <c r="J28" s="59">
        <f>IF(12&gt;Horizonte,NA(),INDEX($E$16:$E$255,12*12))</f>
        <v/>
      </c>
      <c r="K28">
        <f>IF(12&gt;Horizonte,"",IF(Modalidade="Aquisicao direta",IF(144&lt;Lockup_Aq,"Lock-up","Pos-lock-up"),IF(144&lt;Vest_Total,"Vesting",IF(144&lt;Vest_Total+Lockup_Vest,"Lock-up pos-vesting","Pos-vesting"))))</f>
        <v/>
      </c>
      <c r="M28" t="n">
        <v>48</v>
      </c>
      <c r="N28">
        <f>IF(Modalidade="Aquisicao direta",100,100*IF(Vest_Tipo="Unico ao final",IF(48&gt;=Vest_Total,1,0),IF(48&lt;Cliff,0,IF(48&gt;=Vest_Total,1,IF(AND(Cliff&gt;0,Vest_Total&gt;Cliff),(Cliff_Pct/100)+(1-(Cliff_Pct/100))*((48-Cliff)/(Vest_Total-Cliff)),(Cliff_Pct/100))))))</f>
        <v/>
      </c>
    </row>
    <row r="29">
      <c r="A29" t="n">
        <v>14</v>
      </c>
      <c r="B29" s="60">
        <f>IF(Vest_Tipo="Unico ao final",IF(A29&gt;=Vest_Total,1,0),IF(A29&lt;Cliff,0,IF(A29&gt;=Vest_Total,1,IF(AND(Cliff&gt;0,Vest_Total&gt;Cliff),(Cliff_Pct/100)+(1-(Cliff_Pct/100))*((A29-Cliff)/(Vest_Total-Cliff)),(Cliff_Pct/100)))))</f>
        <v/>
      </c>
      <c r="C29" s="59">
        <f>IF(Modalidade="Aquisicao direta",IF(A29&lt;Lockup_Aq,custoAq*(1+CDI_M)^A29,PartInt*(1+CAGR_M)^A29),IF(A29&lt;Vest_Total,B29*PartInt*(1+CAGR_M)^A29,IF(A29&lt;Vest_Total+Lockup_Vest,(PartInt*(1+CAGR_M)^Vest_Total)*(1+CDI_M)^(A29-Vest_Total),PartInt*(1+CAGR_M)^A29)))</f>
        <v/>
      </c>
      <c r="D29" s="59">
        <f>IF(Modalidade="Aquisicao direta",PartExt*(1+CAGR_M)^A29,B29*PartExt*(1+CAGR_M)^A29)</f>
        <v/>
      </c>
      <c r="E29" s="59">
        <f>baseCDI*(1+CDI_M)^A29</f>
        <v/>
      </c>
      <c r="G29" t="n">
        <v>13</v>
      </c>
      <c r="H29" s="59">
        <f>IF(13&gt;Horizonte,NA(),INDEX($C$16:$C$255,13*12))</f>
        <v/>
      </c>
      <c r="I29" s="59">
        <f>IF(13&gt;Horizonte,NA(),INDEX($D$16:$D$255,13*12))</f>
        <v/>
      </c>
      <c r="J29" s="59">
        <f>IF(13&gt;Horizonte,NA(),INDEX($E$16:$E$255,13*12))</f>
        <v/>
      </c>
      <c r="K29">
        <f>IF(13&gt;Horizonte,"",IF(Modalidade="Aquisicao direta",IF(156&lt;Lockup_Aq,"Lock-up","Pos-lock-up"),IF(156&lt;Vest_Total,"Vesting",IF(156&lt;Vest_Total+Lockup_Vest,"Lock-up pos-vesting","Pos-vesting"))))</f>
        <v/>
      </c>
      <c r="M29" t="n">
        <v>52</v>
      </c>
      <c r="N29">
        <f>IF(Modalidade="Aquisicao direta",100,100*IF(Vest_Tipo="Unico ao final",IF(52&gt;=Vest_Total,1,0),IF(52&lt;Cliff,0,IF(52&gt;=Vest_Total,1,IF(AND(Cliff&gt;0,Vest_Total&gt;Cliff),(Cliff_Pct/100)+(1-(Cliff_Pct/100))*((52-Cliff)/(Vest_Total-Cliff)),(Cliff_Pct/100))))))</f>
        <v/>
      </c>
    </row>
    <row r="30">
      <c r="A30" t="n">
        <v>15</v>
      </c>
      <c r="B30" s="60">
        <f>IF(Vest_Tipo="Unico ao final",IF(A30&gt;=Vest_Total,1,0),IF(A30&lt;Cliff,0,IF(A30&gt;=Vest_Total,1,IF(AND(Cliff&gt;0,Vest_Total&gt;Cliff),(Cliff_Pct/100)+(1-(Cliff_Pct/100))*((A30-Cliff)/(Vest_Total-Cliff)),(Cliff_Pct/100)))))</f>
        <v/>
      </c>
      <c r="C30" s="59">
        <f>IF(Modalidade="Aquisicao direta",IF(A30&lt;Lockup_Aq,custoAq*(1+CDI_M)^A30,PartInt*(1+CAGR_M)^A30),IF(A30&lt;Vest_Total,B30*PartInt*(1+CAGR_M)^A30,IF(A30&lt;Vest_Total+Lockup_Vest,(PartInt*(1+CAGR_M)^Vest_Total)*(1+CDI_M)^(A30-Vest_Total),PartInt*(1+CAGR_M)^A30)))</f>
        <v/>
      </c>
      <c r="D30" s="59">
        <f>IF(Modalidade="Aquisicao direta",PartExt*(1+CAGR_M)^A30,B30*PartExt*(1+CAGR_M)^A30)</f>
        <v/>
      </c>
      <c r="E30" s="59">
        <f>baseCDI*(1+CDI_M)^A30</f>
        <v/>
      </c>
      <c r="G30" t="n">
        <v>14</v>
      </c>
      <c r="H30" s="59">
        <f>IF(14&gt;Horizonte,NA(),INDEX($C$16:$C$255,14*12))</f>
        <v/>
      </c>
      <c r="I30" s="59">
        <f>IF(14&gt;Horizonte,NA(),INDEX($D$16:$D$255,14*12))</f>
        <v/>
      </c>
      <c r="J30" s="59">
        <f>IF(14&gt;Horizonte,NA(),INDEX($E$16:$E$255,14*12))</f>
        <v/>
      </c>
      <c r="K30">
        <f>IF(14&gt;Horizonte,"",IF(Modalidade="Aquisicao direta",IF(168&lt;Lockup_Aq,"Lock-up","Pos-lock-up"),IF(168&lt;Vest_Total,"Vesting",IF(168&lt;Vest_Total+Lockup_Vest,"Lock-up pos-vesting","Pos-vesting"))))</f>
        <v/>
      </c>
      <c r="M30" t="n">
        <v>56</v>
      </c>
      <c r="N30">
        <f>IF(Modalidade="Aquisicao direta",100,100*IF(Vest_Tipo="Unico ao final",IF(56&gt;=Vest_Total,1,0),IF(56&lt;Cliff,0,IF(56&gt;=Vest_Total,1,IF(AND(Cliff&gt;0,Vest_Total&gt;Cliff),(Cliff_Pct/100)+(1-(Cliff_Pct/100))*((56-Cliff)/(Vest_Total-Cliff)),(Cliff_Pct/100))))))</f>
        <v/>
      </c>
    </row>
    <row r="31">
      <c r="A31" t="n">
        <v>16</v>
      </c>
      <c r="B31" s="60">
        <f>IF(Vest_Tipo="Unico ao final",IF(A31&gt;=Vest_Total,1,0),IF(A31&lt;Cliff,0,IF(A31&gt;=Vest_Total,1,IF(AND(Cliff&gt;0,Vest_Total&gt;Cliff),(Cliff_Pct/100)+(1-(Cliff_Pct/100))*((A31-Cliff)/(Vest_Total-Cliff)),(Cliff_Pct/100)))))</f>
        <v/>
      </c>
      <c r="C31" s="59">
        <f>IF(Modalidade="Aquisicao direta",IF(A31&lt;Lockup_Aq,custoAq*(1+CDI_M)^A31,PartInt*(1+CAGR_M)^A31),IF(A31&lt;Vest_Total,B31*PartInt*(1+CAGR_M)^A31,IF(A31&lt;Vest_Total+Lockup_Vest,(PartInt*(1+CAGR_M)^Vest_Total)*(1+CDI_M)^(A31-Vest_Total),PartInt*(1+CAGR_M)^A31)))</f>
        <v/>
      </c>
      <c r="D31" s="59">
        <f>IF(Modalidade="Aquisicao direta",PartExt*(1+CAGR_M)^A31,B31*PartExt*(1+CAGR_M)^A31)</f>
        <v/>
      </c>
      <c r="E31" s="59">
        <f>baseCDI*(1+CDI_M)^A31</f>
        <v/>
      </c>
      <c r="G31" t="n">
        <v>15</v>
      </c>
      <c r="H31" s="59">
        <f>IF(15&gt;Horizonte,NA(),INDEX($C$16:$C$255,15*12))</f>
        <v/>
      </c>
      <c r="I31" s="59">
        <f>IF(15&gt;Horizonte,NA(),INDEX($D$16:$D$255,15*12))</f>
        <v/>
      </c>
      <c r="J31" s="59">
        <f>IF(15&gt;Horizonte,NA(),INDEX($E$16:$E$255,15*12))</f>
        <v/>
      </c>
      <c r="K31">
        <f>IF(15&gt;Horizonte,"",IF(Modalidade="Aquisicao direta",IF(180&lt;Lockup_Aq,"Lock-up","Pos-lock-up"),IF(180&lt;Vest_Total,"Vesting",IF(180&lt;Vest_Total+Lockup_Vest,"Lock-up pos-vesting","Pos-vesting"))))</f>
        <v/>
      </c>
      <c r="M31" t="n">
        <v>60</v>
      </c>
      <c r="N31">
        <f>IF(Modalidade="Aquisicao direta",100,100*IF(Vest_Tipo="Unico ao final",IF(60&gt;=Vest_Total,1,0),IF(60&lt;Cliff,0,IF(60&gt;=Vest_Total,1,IF(AND(Cliff&gt;0,Vest_Total&gt;Cliff),(Cliff_Pct/100)+(1-(Cliff_Pct/100))*((60-Cliff)/(Vest_Total-Cliff)),(Cliff_Pct/100))))))</f>
        <v/>
      </c>
    </row>
    <row r="32">
      <c r="A32" t="n">
        <v>17</v>
      </c>
      <c r="B32" s="60">
        <f>IF(Vest_Tipo="Unico ao final",IF(A32&gt;=Vest_Total,1,0),IF(A32&lt;Cliff,0,IF(A32&gt;=Vest_Total,1,IF(AND(Cliff&gt;0,Vest_Total&gt;Cliff),(Cliff_Pct/100)+(1-(Cliff_Pct/100))*((A32-Cliff)/(Vest_Total-Cliff)),(Cliff_Pct/100)))))</f>
        <v/>
      </c>
      <c r="C32" s="59">
        <f>IF(Modalidade="Aquisicao direta",IF(A32&lt;Lockup_Aq,custoAq*(1+CDI_M)^A32,PartInt*(1+CAGR_M)^A32),IF(A32&lt;Vest_Total,B32*PartInt*(1+CAGR_M)^A32,IF(A32&lt;Vest_Total+Lockup_Vest,(PartInt*(1+CAGR_M)^Vest_Total)*(1+CDI_M)^(A32-Vest_Total),PartInt*(1+CAGR_M)^A32)))</f>
        <v/>
      </c>
      <c r="D32" s="59">
        <f>IF(Modalidade="Aquisicao direta",PartExt*(1+CAGR_M)^A32,B32*PartExt*(1+CAGR_M)^A32)</f>
        <v/>
      </c>
      <c r="E32" s="59">
        <f>baseCDI*(1+CDI_M)^A32</f>
        <v/>
      </c>
      <c r="G32" t="n">
        <v>16</v>
      </c>
      <c r="H32" s="59">
        <f>IF(16&gt;Horizonte,NA(),INDEX($C$16:$C$255,16*12))</f>
        <v/>
      </c>
      <c r="I32" s="59">
        <f>IF(16&gt;Horizonte,NA(),INDEX($D$16:$D$255,16*12))</f>
        <v/>
      </c>
      <c r="J32" s="59">
        <f>IF(16&gt;Horizonte,NA(),INDEX($E$16:$E$255,16*12))</f>
        <v/>
      </c>
      <c r="K32">
        <f>IF(16&gt;Horizonte,"",IF(Modalidade="Aquisicao direta",IF(192&lt;Lockup_Aq,"Lock-up","Pos-lock-up"),IF(192&lt;Vest_Total,"Vesting",IF(192&lt;Vest_Total+Lockup_Vest,"Lock-up pos-vesting","Pos-vesting"))))</f>
        <v/>
      </c>
      <c r="M32" t="n">
        <v>64</v>
      </c>
      <c r="N32">
        <f>IF(Modalidade="Aquisicao direta",100,100*IF(Vest_Tipo="Unico ao final",IF(64&gt;=Vest_Total,1,0),IF(64&lt;Cliff,0,IF(64&gt;=Vest_Total,1,IF(AND(Cliff&gt;0,Vest_Total&gt;Cliff),(Cliff_Pct/100)+(1-(Cliff_Pct/100))*((64-Cliff)/(Vest_Total-Cliff)),(Cliff_Pct/100))))))</f>
        <v/>
      </c>
    </row>
    <row r="33">
      <c r="A33" t="n">
        <v>18</v>
      </c>
      <c r="B33" s="60">
        <f>IF(Vest_Tipo="Unico ao final",IF(A33&gt;=Vest_Total,1,0),IF(A33&lt;Cliff,0,IF(A33&gt;=Vest_Total,1,IF(AND(Cliff&gt;0,Vest_Total&gt;Cliff),(Cliff_Pct/100)+(1-(Cliff_Pct/100))*((A33-Cliff)/(Vest_Total-Cliff)),(Cliff_Pct/100)))))</f>
        <v/>
      </c>
      <c r="C33" s="59">
        <f>IF(Modalidade="Aquisicao direta",IF(A33&lt;Lockup_Aq,custoAq*(1+CDI_M)^A33,PartInt*(1+CAGR_M)^A33),IF(A33&lt;Vest_Total,B33*PartInt*(1+CAGR_M)^A33,IF(A33&lt;Vest_Total+Lockup_Vest,(PartInt*(1+CAGR_M)^Vest_Total)*(1+CDI_M)^(A33-Vest_Total),PartInt*(1+CAGR_M)^A33)))</f>
        <v/>
      </c>
      <c r="D33" s="59">
        <f>IF(Modalidade="Aquisicao direta",PartExt*(1+CAGR_M)^A33,B33*PartExt*(1+CAGR_M)^A33)</f>
        <v/>
      </c>
      <c r="E33" s="59">
        <f>baseCDI*(1+CDI_M)^A33</f>
        <v/>
      </c>
      <c r="G33" t="n">
        <v>17</v>
      </c>
      <c r="H33" s="59">
        <f>IF(17&gt;Horizonte,NA(),INDEX($C$16:$C$255,17*12))</f>
        <v/>
      </c>
      <c r="I33" s="59">
        <f>IF(17&gt;Horizonte,NA(),INDEX($D$16:$D$255,17*12))</f>
        <v/>
      </c>
      <c r="J33" s="59">
        <f>IF(17&gt;Horizonte,NA(),INDEX($E$16:$E$255,17*12))</f>
        <v/>
      </c>
      <c r="K33">
        <f>IF(17&gt;Horizonte,"",IF(Modalidade="Aquisicao direta",IF(204&lt;Lockup_Aq,"Lock-up","Pos-lock-up"),IF(204&lt;Vest_Total,"Vesting",IF(204&lt;Vest_Total+Lockup_Vest,"Lock-up pos-vesting","Pos-vesting"))))</f>
        <v/>
      </c>
      <c r="M33" t="n">
        <v>68</v>
      </c>
      <c r="N33">
        <f>IF(Modalidade="Aquisicao direta",100,100*IF(Vest_Tipo="Unico ao final",IF(68&gt;=Vest_Total,1,0),IF(68&lt;Cliff,0,IF(68&gt;=Vest_Total,1,IF(AND(Cliff&gt;0,Vest_Total&gt;Cliff),(Cliff_Pct/100)+(1-(Cliff_Pct/100))*((68-Cliff)/(Vest_Total-Cliff)),(Cliff_Pct/100))))))</f>
        <v/>
      </c>
    </row>
    <row r="34">
      <c r="A34" t="n">
        <v>19</v>
      </c>
      <c r="B34" s="60">
        <f>IF(Vest_Tipo="Unico ao final",IF(A34&gt;=Vest_Total,1,0),IF(A34&lt;Cliff,0,IF(A34&gt;=Vest_Total,1,IF(AND(Cliff&gt;0,Vest_Total&gt;Cliff),(Cliff_Pct/100)+(1-(Cliff_Pct/100))*((A34-Cliff)/(Vest_Total-Cliff)),(Cliff_Pct/100)))))</f>
        <v/>
      </c>
      <c r="C34" s="59">
        <f>IF(Modalidade="Aquisicao direta",IF(A34&lt;Lockup_Aq,custoAq*(1+CDI_M)^A34,PartInt*(1+CAGR_M)^A34),IF(A34&lt;Vest_Total,B34*PartInt*(1+CAGR_M)^A34,IF(A34&lt;Vest_Total+Lockup_Vest,(PartInt*(1+CAGR_M)^Vest_Total)*(1+CDI_M)^(A34-Vest_Total),PartInt*(1+CAGR_M)^A34)))</f>
        <v/>
      </c>
      <c r="D34" s="59">
        <f>IF(Modalidade="Aquisicao direta",PartExt*(1+CAGR_M)^A34,B34*PartExt*(1+CAGR_M)^A34)</f>
        <v/>
      </c>
      <c r="E34" s="59">
        <f>baseCDI*(1+CDI_M)^A34</f>
        <v/>
      </c>
      <c r="G34" t="n">
        <v>18</v>
      </c>
      <c r="H34" s="59">
        <f>IF(18&gt;Horizonte,NA(),INDEX($C$16:$C$255,18*12))</f>
        <v/>
      </c>
      <c r="I34" s="59">
        <f>IF(18&gt;Horizonte,NA(),INDEX($D$16:$D$255,18*12))</f>
        <v/>
      </c>
      <c r="J34" s="59">
        <f>IF(18&gt;Horizonte,NA(),INDEX($E$16:$E$255,18*12))</f>
        <v/>
      </c>
      <c r="K34">
        <f>IF(18&gt;Horizonte,"",IF(Modalidade="Aquisicao direta",IF(216&lt;Lockup_Aq,"Lock-up","Pos-lock-up"),IF(216&lt;Vest_Total,"Vesting",IF(216&lt;Vest_Total+Lockup_Vest,"Lock-up pos-vesting","Pos-vesting"))))</f>
        <v/>
      </c>
      <c r="M34" t="n">
        <v>72</v>
      </c>
      <c r="N34">
        <f>IF(Modalidade="Aquisicao direta",100,100*IF(Vest_Tipo="Unico ao final",IF(72&gt;=Vest_Total,1,0),IF(72&lt;Cliff,0,IF(72&gt;=Vest_Total,1,IF(AND(Cliff&gt;0,Vest_Total&gt;Cliff),(Cliff_Pct/100)+(1-(Cliff_Pct/100))*((72-Cliff)/(Vest_Total-Cliff)),(Cliff_Pct/100))))))</f>
        <v/>
      </c>
    </row>
    <row r="35">
      <c r="A35" t="n">
        <v>20</v>
      </c>
      <c r="B35" s="60">
        <f>IF(Vest_Tipo="Unico ao final",IF(A35&gt;=Vest_Total,1,0),IF(A35&lt;Cliff,0,IF(A35&gt;=Vest_Total,1,IF(AND(Cliff&gt;0,Vest_Total&gt;Cliff),(Cliff_Pct/100)+(1-(Cliff_Pct/100))*((A35-Cliff)/(Vest_Total-Cliff)),(Cliff_Pct/100)))))</f>
        <v/>
      </c>
      <c r="C35" s="59">
        <f>IF(Modalidade="Aquisicao direta",IF(A35&lt;Lockup_Aq,custoAq*(1+CDI_M)^A35,PartInt*(1+CAGR_M)^A35),IF(A35&lt;Vest_Total,B35*PartInt*(1+CAGR_M)^A35,IF(A35&lt;Vest_Total+Lockup_Vest,(PartInt*(1+CAGR_M)^Vest_Total)*(1+CDI_M)^(A35-Vest_Total),PartInt*(1+CAGR_M)^A35)))</f>
        <v/>
      </c>
      <c r="D35" s="59">
        <f>IF(Modalidade="Aquisicao direta",PartExt*(1+CAGR_M)^A35,B35*PartExt*(1+CAGR_M)^A35)</f>
        <v/>
      </c>
      <c r="E35" s="59">
        <f>baseCDI*(1+CDI_M)^A35</f>
        <v/>
      </c>
      <c r="G35" t="n">
        <v>19</v>
      </c>
      <c r="H35" s="59">
        <f>IF(19&gt;Horizonte,NA(),INDEX($C$16:$C$255,19*12))</f>
        <v/>
      </c>
      <c r="I35" s="59">
        <f>IF(19&gt;Horizonte,NA(),INDEX($D$16:$D$255,19*12))</f>
        <v/>
      </c>
      <c r="J35" s="59">
        <f>IF(19&gt;Horizonte,NA(),INDEX($E$16:$E$255,19*12))</f>
        <v/>
      </c>
      <c r="K35">
        <f>IF(19&gt;Horizonte,"",IF(Modalidade="Aquisicao direta",IF(228&lt;Lockup_Aq,"Lock-up","Pos-lock-up"),IF(228&lt;Vest_Total,"Vesting",IF(228&lt;Vest_Total+Lockup_Vest,"Lock-up pos-vesting","Pos-vesting"))))</f>
        <v/>
      </c>
      <c r="M35" t="n">
        <v>76</v>
      </c>
      <c r="N35">
        <f>IF(Modalidade="Aquisicao direta",100,100*IF(Vest_Tipo="Unico ao final",IF(76&gt;=Vest_Total,1,0),IF(76&lt;Cliff,0,IF(76&gt;=Vest_Total,1,IF(AND(Cliff&gt;0,Vest_Total&gt;Cliff),(Cliff_Pct/100)+(1-(Cliff_Pct/100))*((76-Cliff)/(Vest_Total-Cliff)),(Cliff_Pct/100))))))</f>
        <v/>
      </c>
    </row>
    <row r="36">
      <c r="A36" t="n">
        <v>21</v>
      </c>
      <c r="B36" s="60">
        <f>IF(Vest_Tipo="Unico ao final",IF(A36&gt;=Vest_Total,1,0),IF(A36&lt;Cliff,0,IF(A36&gt;=Vest_Total,1,IF(AND(Cliff&gt;0,Vest_Total&gt;Cliff),(Cliff_Pct/100)+(1-(Cliff_Pct/100))*((A36-Cliff)/(Vest_Total-Cliff)),(Cliff_Pct/100)))))</f>
        <v/>
      </c>
      <c r="C36" s="59">
        <f>IF(Modalidade="Aquisicao direta",IF(A36&lt;Lockup_Aq,custoAq*(1+CDI_M)^A36,PartInt*(1+CAGR_M)^A36),IF(A36&lt;Vest_Total,B36*PartInt*(1+CAGR_M)^A36,IF(A36&lt;Vest_Total+Lockup_Vest,(PartInt*(1+CAGR_M)^Vest_Total)*(1+CDI_M)^(A36-Vest_Total),PartInt*(1+CAGR_M)^A36)))</f>
        <v/>
      </c>
      <c r="D36" s="59">
        <f>IF(Modalidade="Aquisicao direta",PartExt*(1+CAGR_M)^A36,B36*PartExt*(1+CAGR_M)^A36)</f>
        <v/>
      </c>
      <c r="E36" s="59">
        <f>baseCDI*(1+CDI_M)^A36</f>
        <v/>
      </c>
      <c r="G36" t="n">
        <v>20</v>
      </c>
      <c r="H36" s="59">
        <f>IF(20&gt;Horizonte,NA(),INDEX($C$16:$C$255,20*12))</f>
        <v/>
      </c>
      <c r="I36" s="59">
        <f>IF(20&gt;Horizonte,NA(),INDEX($D$16:$D$255,20*12))</f>
        <v/>
      </c>
      <c r="J36" s="59">
        <f>IF(20&gt;Horizonte,NA(),INDEX($E$16:$E$255,20*12))</f>
        <v/>
      </c>
      <c r="K36">
        <f>IF(20&gt;Horizonte,"",IF(Modalidade="Aquisicao direta",IF(240&lt;Lockup_Aq,"Lock-up","Pos-lock-up"),IF(240&lt;Vest_Total,"Vesting",IF(240&lt;Vest_Total+Lockup_Vest,"Lock-up pos-vesting","Pos-vesting"))))</f>
        <v/>
      </c>
      <c r="M36" t="n">
        <v>80</v>
      </c>
      <c r="N36">
        <f>IF(Modalidade="Aquisicao direta",100,100*IF(Vest_Tipo="Unico ao final",IF(80&gt;=Vest_Total,1,0),IF(80&lt;Cliff,0,IF(80&gt;=Vest_Total,1,IF(AND(Cliff&gt;0,Vest_Total&gt;Cliff),(Cliff_Pct/100)+(1-(Cliff_Pct/100))*((80-Cliff)/(Vest_Total-Cliff)),(Cliff_Pct/100))))))</f>
        <v/>
      </c>
    </row>
    <row r="37">
      <c r="A37" t="n">
        <v>22</v>
      </c>
      <c r="B37" s="60">
        <f>IF(Vest_Tipo="Unico ao final",IF(A37&gt;=Vest_Total,1,0),IF(A37&lt;Cliff,0,IF(A37&gt;=Vest_Total,1,IF(AND(Cliff&gt;0,Vest_Total&gt;Cliff),(Cliff_Pct/100)+(1-(Cliff_Pct/100))*((A37-Cliff)/(Vest_Total-Cliff)),(Cliff_Pct/100)))))</f>
        <v/>
      </c>
      <c r="C37" s="59">
        <f>IF(Modalidade="Aquisicao direta",IF(A37&lt;Lockup_Aq,custoAq*(1+CDI_M)^A37,PartInt*(1+CAGR_M)^A37),IF(A37&lt;Vest_Total,B37*PartInt*(1+CAGR_M)^A37,IF(A37&lt;Vest_Total+Lockup_Vest,(PartInt*(1+CAGR_M)^Vest_Total)*(1+CDI_M)^(A37-Vest_Total),PartInt*(1+CAGR_M)^A37)))</f>
        <v/>
      </c>
      <c r="D37" s="59">
        <f>IF(Modalidade="Aquisicao direta",PartExt*(1+CAGR_M)^A37,B37*PartExt*(1+CAGR_M)^A37)</f>
        <v/>
      </c>
      <c r="E37" s="59">
        <f>baseCDI*(1+CDI_M)^A37</f>
        <v/>
      </c>
      <c r="M37" t="n">
        <v>84</v>
      </c>
      <c r="N37">
        <f>IF(Modalidade="Aquisicao direta",100,100*IF(Vest_Tipo="Unico ao final",IF(84&gt;=Vest_Total,1,0),IF(84&lt;Cliff,0,IF(84&gt;=Vest_Total,1,IF(AND(Cliff&gt;0,Vest_Total&gt;Cliff),(Cliff_Pct/100)+(1-(Cliff_Pct/100))*((84-Cliff)/(Vest_Total-Cliff)),(Cliff_Pct/100))))))</f>
        <v/>
      </c>
    </row>
    <row r="38">
      <c r="A38" t="n">
        <v>23</v>
      </c>
      <c r="B38" s="60">
        <f>IF(Vest_Tipo="Unico ao final",IF(A38&gt;=Vest_Total,1,0),IF(A38&lt;Cliff,0,IF(A38&gt;=Vest_Total,1,IF(AND(Cliff&gt;0,Vest_Total&gt;Cliff),(Cliff_Pct/100)+(1-(Cliff_Pct/100))*((A38-Cliff)/(Vest_Total-Cliff)),(Cliff_Pct/100)))))</f>
        <v/>
      </c>
      <c r="C38" s="59">
        <f>IF(Modalidade="Aquisicao direta",IF(A38&lt;Lockup_Aq,custoAq*(1+CDI_M)^A38,PartInt*(1+CAGR_M)^A38),IF(A38&lt;Vest_Total,B38*PartInt*(1+CAGR_M)^A38,IF(A38&lt;Vest_Total+Lockup_Vest,(PartInt*(1+CAGR_M)^Vest_Total)*(1+CDI_M)^(A38-Vest_Total),PartInt*(1+CAGR_M)^A38)))</f>
        <v/>
      </c>
      <c r="D38" s="59">
        <f>IF(Modalidade="Aquisicao direta",PartExt*(1+CAGR_M)^A38,B38*PartExt*(1+CAGR_M)^A38)</f>
        <v/>
      </c>
      <c r="E38" s="59">
        <f>baseCDI*(1+CDI_M)^A38</f>
        <v/>
      </c>
      <c r="M38" t="n">
        <v>88</v>
      </c>
      <c r="N38">
        <f>IF(Modalidade="Aquisicao direta",100,100*IF(Vest_Tipo="Unico ao final",IF(88&gt;=Vest_Total,1,0),IF(88&lt;Cliff,0,IF(88&gt;=Vest_Total,1,IF(AND(Cliff&gt;0,Vest_Total&gt;Cliff),(Cliff_Pct/100)+(1-(Cliff_Pct/100))*((88-Cliff)/(Vest_Total-Cliff)),(Cliff_Pct/100))))))</f>
        <v/>
      </c>
    </row>
    <row r="39">
      <c r="A39" t="n">
        <v>24</v>
      </c>
      <c r="B39" s="60">
        <f>IF(Vest_Tipo="Unico ao final",IF(A39&gt;=Vest_Total,1,0),IF(A39&lt;Cliff,0,IF(A39&gt;=Vest_Total,1,IF(AND(Cliff&gt;0,Vest_Total&gt;Cliff),(Cliff_Pct/100)+(1-(Cliff_Pct/100))*((A39-Cliff)/(Vest_Total-Cliff)),(Cliff_Pct/100)))))</f>
        <v/>
      </c>
      <c r="C39" s="59">
        <f>IF(Modalidade="Aquisicao direta",IF(A39&lt;Lockup_Aq,custoAq*(1+CDI_M)^A39,PartInt*(1+CAGR_M)^A39),IF(A39&lt;Vest_Total,B39*PartInt*(1+CAGR_M)^A39,IF(A39&lt;Vest_Total+Lockup_Vest,(PartInt*(1+CAGR_M)^Vest_Total)*(1+CDI_M)^(A39-Vest_Total),PartInt*(1+CAGR_M)^A39)))</f>
        <v/>
      </c>
      <c r="D39" s="59">
        <f>IF(Modalidade="Aquisicao direta",PartExt*(1+CAGR_M)^A39,B39*PartExt*(1+CAGR_M)^A39)</f>
        <v/>
      </c>
      <c r="E39" s="59">
        <f>baseCDI*(1+CDI_M)^A39</f>
        <v/>
      </c>
      <c r="M39" t="n">
        <v>92</v>
      </c>
      <c r="N39">
        <f>IF(Modalidade="Aquisicao direta",100,100*IF(Vest_Tipo="Unico ao final",IF(92&gt;=Vest_Total,1,0),IF(92&lt;Cliff,0,IF(92&gt;=Vest_Total,1,IF(AND(Cliff&gt;0,Vest_Total&gt;Cliff),(Cliff_Pct/100)+(1-(Cliff_Pct/100))*((92-Cliff)/(Vest_Total-Cliff)),(Cliff_Pct/100))))))</f>
        <v/>
      </c>
    </row>
    <row r="40">
      <c r="A40" t="n">
        <v>25</v>
      </c>
      <c r="B40" s="60">
        <f>IF(Vest_Tipo="Unico ao final",IF(A40&gt;=Vest_Total,1,0),IF(A40&lt;Cliff,0,IF(A40&gt;=Vest_Total,1,IF(AND(Cliff&gt;0,Vest_Total&gt;Cliff),(Cliff_Pct/100)+(1-(Cliff_Pct/100))*((A40-Cliff)/(Vest_Total-Cliff)),(Cliff_Pct/100)))))</f>
        <v/>
      </c>
      <c r="C40" s="59">
        <f>IF(Modalidade="Aquisicao direta",IF(A40&lt;Lockup_Aq,custoAq*(1+CDI_M)^A40,PartInt*(1+CAGR_M)^A40),IF(A40&lt;Vest_Total,B40*PartInt*(1+CAGR_M)^A40,IF(A40&lt;Vest_Total+Lockup_Vest,(PartInt*(1+CAGR_M)^Vest_Total)*(1+CDI_M)^(A40-Vest_Total),PartInt*(1+CAGR_M)^A40)))</f>
        <v/>
      </c>
      <c r="D40" s="59">
        <f>IF(Modalidade="Aquisicao direta",PartExt*(1+CAGR_M)^A40,B40*PartExt*(1+CAGR_M)^A40)</f>
        <v/>
      </c>
      <c r="E40" s="59">
        <f>baseCDI*(1+CDI_M)^A40</f>
        <v/>
      </c>
      <c r="M40" t="n">
        <v>96</v>
      </c>
      <c r="N40">
        <f>IF(Modalidade="Aquisicao direta",100,100*IF(Vest_Tipo="Unico ao final",IF(96&gt;=Vest_Total,1,0),IF(96&lt;Cliff,0,IF(96&gt;=Vest_Total,1,IF(AND(Cliff&gt;0,Vest_Total&gt;Cliff),(Cliff_Pct/100)+(1-(Cliff_Pct/100))*((96-Cliff)/(Vest_Total-Cliff)),(Cliff_Pct/100))))))</f>
        <v/>
      </c>
    </row>
    <row r="41">
      <c r="A41" t="n">
        <v>26</v>
      </c>
      <c r="B41" s="60">
        <f>IF(Vest_Tipo="Unico ao final",IF(A41&gt;=Vest_Total,1,0),IF(A41&lt;Cliff,0,IF(A41&gt;=Vest_Total,1,IF(AND(Cliff&gt;0,Vest_Total&gt;Cliff),(Cliff_Pct/100)+(1-(Cliff_Pct/100))*((A41-Cliff)/(Vest_Total-Cliff)),(Cliff_Pct/100)))))</f>
        <v/>
      </c>
      <c r="C41" s="59">
        <f>IF(Modalidade="Aquisicao direta",IF(A41&lt;Lockup_Aq,custoAq*(1+CDI_M)^A41,PartInt*(1+CAGR_M)^A41),IF(A41&lt;Vest_Total,B41*PartInt*(1+CAGR_M)^A41,IF(A41&lt;Vest_Total+Lockup_Vest,(PartInt*(1+CAGR_M)^Vest_Total)*(1+CDI_M)^(A41-Vest_Total),PartInt*(1+CAGR_M)^A41)))</f>
        <v/>
      </c>
      <c r="D41" s="59">
        <f>IF(Modalidade="Aquisicao direta",PartExt*(1+CAGR_M)^A41,B41*PartExt*(1+CAGR_M)^A41)</f>
        <v/>
      </c>
      <c r="E41" s="59">
        <f>baseCDI*(1+CDI_M)^A41</f>
        <v/>
      </c>
      <c r="M41" t="n">
        <v>100</v>
      </c>
      <c r="N41">
        <f>IF(Modalidade="Aquisicao direta",100,100*IF(Vest_Tipo="Unico ao final",IF(100&gt;=Vest_Total,1,0),IF(100&lt;Cliff,0,IF(100&gt;=Vest_Total,1,IF(AND(Cliff&gt;0,Vest_Total&gt;Cliff),(Cliff_Pct/100)+(1-(Cliff_Pct/100))*((100-Cliff)/(Vest_Total-Cliff)),(Cliff_Pct/100))))))</f>
        <v/>
      </c>
    </row>
    <row r="42">
      <c r="A42" t="n">
        <v>27</v>
      </c>
      <c r="B42" s="60">
        <f>IF(Vest_Tipo="Unico ao final",IF(A42&gt;=Vest_Total,1,0),IF(A42&lt;Cliff,0,IF(A42&gt;=Vest_Total,1,IF(AND(Cliff&gt;0,Vest_Total&gt;Cliff),(Cliff_Pct/100)+(1-(Cliff_Pct/100))*((A42-Cliff)/(Vest_Total-Cliff)),(Cliff_Pct/100)))))</f>
        <v/>
      </c>
      <c r="C42" s="59">
        <f>IF(Modalidade="Aquisicao direta",IF(A42&lt;Lockup_Aq,custoAq*(1+CDI_M)^A42,PartInt*(1+CAGR_M)^A42),IF(A42&lt;Vest_Total,B42*PartInt*(1+CAGR_M)^A42,IF(A42&lt;Vest_Total+Lockup_Vest,(PartInt*(1+CAGR_M)^Vest_Total)*(1+CDI_M)^(A42-Vest_Total),PartInt*(1+CAGR_M)^A42)))</f>
        <v/>
      </c>
      <c r="D42" s="59">
        <f>IF(Modalidade="Aquisicao direta",PartExt*(1+CAGR_M)^A42,B42*PartExt*(1+CAGR_M)^A42)</f>
        <v/>
      </c>
      <c r="E42" s="59">
        <f>baseCDI*(1+CDI_M)^A42</f>
        <v/>
      </c>
      <c r="M42" t="n">
        <v>104</v>
      </c>
      <c r="N42">
        <f>IF(Modalidade="Aquisicao direta",100,100*IF(Vest_Tipo="Unico ao final",IF(104&gt;=Vest_Total,1,0),IF(104&lt;Cliff,0,IF(104&gt;=Vest_Total,1,IF(AND(Cliff&gt;0,Vest_Total&gt;Cliff),(Cliff_Pct/100)+(1-(Cliff_Pct/100))*((104-Cliff)/(Vest_Total-Cliff)),(Cliff_Pct/100))))))</f>
        <v/>
      </c>
    </row>
    <row r="43">
      <c r="A43" t="n">
        <v>28</v>
      </c>
      <c r="B43" s="60">
        <f>IF(Vest_Tipo="Unico ao final",IF(A43&gt;=Vest_Total,1,0),IF(A43&lt;Cliff,0,IF(A43&gt;=Vest_Total,1,IF(AND(Cliff&gt;0,Vest_Total&gt;Cliff),(Cliff_Pct/100)+(1-(Cliff_Pct/100))*((A43-Cliff)/(Vest_Total-Cliff)),(Cliff_Pct/100)))))</f>
        <v/>
      </c>
      <c r="C43" s="59">
        <f>IF(Modalidade="Aquisicao direta",IF(A43&lt;Lockup_Aq,custoAq*(1+CDI_M)^A43,PartInt*(1+CAGR_M)^A43),IF(A43&lt;Vest_Total,B43*PartInt*(1+CAGR_M)^A43,IF(A43&lt;Vest_Total+Lockup_Vest,(PartInt*(1+CAGR_M)^Vest_Total)*(1+CDI_M)^(A43-Vest_Total),PartInt*(1+CAGR_M)^A43)))</f>
        <v/>
      </c>
      <c r="D43" s="59">
        <f>IF(Modalidade="Aquisicao direta",PartExt*(1+CAGR_M)^A43,B43*PartExt*(1+CAGR_M)^A43)</f>
        <v/>
      </c>
      <c r="E43" s="59">
        <f>baseCDI*(1+CDI_M)^A43</f>
        <v/>
      </c>
      <c r="M43" t="n">
        <v>108</v>
      </c>
      <c r="N43">
        <f>IF(Modalidade="Aquisicao direta",100,100*IF(Vest_Tipo="Unico ao final",IF(108&gt;=Vest_Total,1,0),IF(108&lt;Cliff,0,IF(108&gt;=Vest_Total,1,IF(AND(Cliff&gt;0,Vest_Total&gt;Cliff),(Cliff_Pct/100)+(1-(Cliff_Pct/100))*((108-Cliff)/(Vest_Total-Cliff)),(Cliff_Pct/100))))))</f>
        <v/>
      </c>
    </row>
    <row r="44">
      <c r="A44" t="n">
        <v>29</v>
      </c>
      <c r="B44" s="60">
        <f>IF(Vest_Tipo="Unico ao final",IF(A44&gt;=Vest_Total,1,0),IF(A44&lt;Cliff,0,IF(A44&gt;=Vest_Total,1,IF(AND(Cliff&gt;0,Vest_Total&gt;Cliff),(Cliff_Pct/100)+(1-(Cliff_Pct/100))*((A44-Cliff)/(Vest_Total-Cliff)),(Cliff_Pct/100)))))</f>
        <v/>
      </c>
      <c r="C44" s="59">
        <f>IF(Modalidade="Aquisicao direta",IF(A44&lt;Lockup_Aq,custoAq*(1+CDI_M)^A44,PartInt*(1+CAGR_M)^A44),IF(A44&lt;Vest_Total,B44*PartInt*(1+CAGR_M)^A44,IF(A44&lt;Vest_Total+Lockup_Vest,(PartInt*(1+CAGR_M)^Vest_Total)*(1+CDI_M)^(A44-Vest_Total),PartInt*(1+CAGR_M)^A44)))</f>
        <v/>
      </c>
      <c r="D44" s="59">
        <f>IF(Modalidade="Aquisicao direta",PartExt*(1+CAGR_M)^A44,B44*PartExt*(1+CAGR_M)^A44)</f>
        <v/>
      </c>
      <c r="E44" s="59">
        <f>baseCDI*(1+CDI_M)^A44</f>
        <v/>
      </c>
      <c r="M44" t="n">
        <v>112</v>
      </c>
      <c r="N44">
        <f>IF(Modalidade="Aquisicao direta",100,100*IF(Vest_Tipo="Unico ao final",IF(112&gt;=Vest_Total,1,0),IF(112&lt;Cliff,0,IF(112&gt;=Vest_Total,1,IF(AND(Cliff&gt;0,Vest_Total&gt;Cliff),(Cliff_Pct/100)+(1-(Cliff_Pct/100))*((112-Cliff)/(Vest_Total-Cliff)),(Cliff_Pct/100))))))</f>
        <v/>
      </c>
    </row>
    <row r="45">
      <c r="A45" t="n">
        <v>30</v>
      </c>
      <c r="B45" s="60">
        <f>IF(Vest_Tipo="Unico ao final",IF(A45&gt;=Vest_Total,1,0),IF(A45&lt;Cliff,0,IF(A45&gt;=Vest_Total,1,IF(AND(Cliff&gt;0,Vest_Total&gt;Cliff),(Cliff_Pct/100)+(1-(Cliff_Pct/100))*((A45-Cliff)/(Vest_Total-Cliff)),(Cliff_Pct/100)))))</f>
        <v/>
      </c>
      <c r="C45" s="59">
        <f>IF(Modalidade="Aquisicao direta",IF(A45&lt;Lockup_Aq,custoAq*(1+CDI_M)^A45,PartInt*(1+CAGR_M)^A45),IF(A45&lt;Vest_Total,B45*PartInt*(1+CAGR_M)^A45,IF(A45&lt;Vest_Total+Lockup_Vest,(PartInt*(1+CAGR_M)^Vest_Total)*(1+CDI_M)^(A45-Vest_Total),PartInt*(1+CAGR_M)^A45)))</f>
        <v/>
      </c>
      <c r="D45" s="59">
        <f>IF(Modalidade="Aquisicao direta",PartExt*(1+CAGR_M)^A45,B45*PartExt*(1+CAGR_M)^A45)</f>
        <v/>
      </c>
      <c r="E45" s="59">
        <f>baseCDI*(1+CDI_M)^A45</f>
        <v/>
      </c>
      <c r="M45" t="n">
        <v>116</v>
      </c>
      <c r="N45">
        <f>IF(Modalidade="Aquisicao direta",100,100*IF(Vest_Tipo="Unico ao final",IF(116&gt;=Vest_Total,1,0),IF(116&lt;Cliff,0,IF(116&gt;=Vest_Total,1,IF(AND(Cliff&gt;0,Vest_Total&gt;Cliff),(Cliff_Pct/100)+(1-(Cliff_Pct/100))*((116-Cliff)/(Vest_Total-Cliff)),(Cliff_Pct/100))))))</f>
        <v/>
      </c>
    </row>
    <row r="46">
      <c r="A46" t="n">
        <v>31</v>
      </c>
      <c r="B46" s="60">
        <f>IF(Vest_Tipo="Unico ao final",IF(A46&gt;=Vest_Total,1,0),IF(A46&lt;Cliff,0,IF(A46&gt;=Vest_Total,1,IF(AND(Cliff&gt;0,Vest_Total&gt;Cliff),(Cliff_Pct/100)+(1-(Cliff_Pct/100))*((A46-Cliff)/(Vest_Total-Cliff)),(Cliff_Pct/100)))))</f>
        <v/>
      </c>
      <c r="C46" s="59">
        <f>IF(Modalidade="Aquisicao direta",IF(A46&lt;Lockup_Aq,custoAq*(1+CDI_M)^A46,PartInt*(1+CAGR_M)^A46),IF(A46&lt;Vest_Total,B46*PartInt*(1+CAGR_M)^A46,IF(A46&lt;Vest_Total+Lockup_Vest,(PartInt*(1+CAGR_M)^Vest_Total)*(1+CDI_M)^(A46-Vest_Total),PartInt*(1+CAGR_M)^A46)))</f>
        <v/>
      </c>
      <c r="D46" s="59">
        <f>IF(Modalidade="Aquisicao direta",PartExt*(1+CAGR_M)^A46,B46*PartExt*(1+CAGR_M)^A46)</f>
        <v/>
      </c>
      <c r="E46" s="59">
        <f>baseCDI*(1+CDI_M)^A46</f>
        <v/>
      </c>
      <c r="M46" t="n">
        <v>120</v>
      </c>
      <c r="N46">
        <f>IF(Modalidade="Aquisicao direta",100,100*IF(Vest_Tipo="Unico ao final",IF(120&gt;=Vest_Total,1,0),IF(120&lt;Cliff,0,IF(120&gt;=Vest_Total,1,IF(AND(Cliff&gt;0,Vest_Total&gt;Cliff),(Cliff_Pct/100)+(1-(Cliff_Pct/100))*((120-Cliff)/(Vest_Total-Cliff)),(Cliff_Pct/100))))))</f>
        <v/>
      </c>
    </row>
    <row r="47">
      <c r="A47" t="n">
        <v>32</v>
      </c>
      <c r="B47" s="60">
        <f>IF(Vest_Tipo="Unico ao final",IF(A47&gt;=Vest_Total,1,0),IF(A47&lt;Cliff,0,IF(A47&gt;=Vest_Total,1,IF(AND(Cliff&gt;0,Vest_Total&gt;Cliff),(Cliff_Pct/100)+(1-(Cliff_Pct/100))*((A47-Cliff)/(Vest_Total-Cliff)),(Cliff_Pct/100)))))</f>
        <v/>
      </c>
      <c r="C47" s="59">
        <f>IF(Modalidade="Aquisicao direta",IF(A47&lt;Lockup_Aq,custoAq*(1+CDI_M)^A47,PartInt*(1+CAGR_M)^A47),IF(A47&lt;Vest_Total,B47*PartInt*(1+CAGR_M)^A47,IF(A47&lt;Vest_Total+Lockup_Vest,(PartInt*(1+CAGR_M)^Vest_Total)*(1+CDI_M)^(A47-Vest_Total),PartInt*(1+CAGR_M)^A47)))</f>
        <v/>
      </c>
      <c r="D47" s="59">
        <f>IF(Modalidade="Aquisicao direta",PartExt*(1+CAGR_M)^A47,B47*PartExt*(1+CAGR_M)^A47)</f>
        <v/>
      </c>
      <c r="E47" s="59">
        <f>baseCDI*(1+CDI_M)^A47</f>
        <v/>
      </c>
      <c r="M47" t="n">
        <v>124</v>
      </c>
      <c r="N47">
        <f>IF(Modalidade="Aquisicao direta",100,100*IF(Vest_Tipo="Unico ao final",IF(124&gt;=Vest_Total,1,0),IF(124&lt;Cliff,0,IF(124&gt;=Vest_Total,1,IF(AND(Cliff&gt;0,Vest_Total&gt;Cliff),(Cliff_Pct/100)+(1-(Cliff_Pct/100))*((124-Cliff)/(Vest_Total-Cliff)),(Cliff_Pct/100))))))</f>
        <v/>
      </c>
    </row>
    <row r="48">
      <c r="A48" t="n">
        <v>33</v>
      </c>
      <c r="B48" s="60">
        <f>IF(Vest_Tipo="Unico ao final",IF(A48&gt;=Vest_Total,1,0),IF(A48&lt;Cliff,0,IF(A48&gt;=Vest_Total,1,IF(AND(Cliff&gt;0,Vest_Total&gt;Cliff),(Cliff_Pct/100)+(1-(Cliff_Pct/100))*((A48-Cliff)/(Vest_Total-Cliff)),(Cliff_Pct/100)))))</f>
        <v/>
      </c>
      <c r="C48" s="59">
        <f>IF(Modalidade="Aquisicao direta",IF(A48&lt;Lockup_Aq,custoAq*(1+CDI_M)^A48,PartInt*(1+CAGR_M)^A48),IF(A48&lt;Vest_Total,B48*PartInt*(1+CAGR_M)^A48,IF(A48&lt;Vest_Total+Lockup_Vest,(PartInt*(1+CAGR_M)^Vest_Total)*(1+CDI_M)^(A48-Vest_Total),PartInt*(1+CAGR_M)^A48)))</f>
        <v/>
      </c>
      <c r="D48" s="59">
        <f>IF(Modalidade="Aquisicao direta",PartExt*(1+CAGR_M)^A48,B48*PartExt*(1+CAGR_M)^A48)</f>
        <v/>
      </c>
      <c r="E48" s="59">
        <f>baseCDI*(1+CDI_M)^A48</f>
        <v/>
      </c>
      <c r="M48" t="n">
        <v>128</v>
      </c>
      <c r="N48">
        <f>IF(Modalidade="Aquisicao direta",100,100*IF(Vest_Tipo="Unico ao final",IF(128&gt;=Vest_Total,1,0),IF(128&lt;Cliff,0,IF(128&gt;=Vest_Total,1,IF(AND(Cliff&gt;0,Vest_Total&gt;Cliff),(Cliff_Pct/100)+(1-(Cliff_Pct/100))*((128-Cliff)/(Vest_Total-Cliff)),(Cliff_Pct/100))))))</f>
        <v/>
      </c>
    </row>
    <row r="49">
      <c r="A49" t="n">
        <v>34</v>
      </c>
      <c r="B49" s="60">
        <f>IF(Vest_Tipo="Unico ao final",IF(A49&gt;=Vest_Total,1,0),IF(A49&lt;Cliff,0,IF(A49&gt;=Vest_Total,1,IF(AND(Cliff&gt;0,Vest_Total&gt;Cliff),(Cliff_Pct/100)+(1-(Cliff_Pct/100))*((A49-Cliff)/(Vest_Total-Cliff)),(Cliff_Pct/100)))))</f>
        <v/>
      </c>
      <c r="C49" s="59">
        <f>IF(Modalidade="Aquisicao direta",IF(A49&lt;Lockup_Aq,custoAq*(1+CDI_M)^A49,PartInt*(1+CAGR_M)^A49),IF(A49&lt;Vest_Total,B49*PartInt*(1+CAGR_M)^A49,IF(A49&lt;Vest_Total+Lockup_Vest,(PartInt*(1+CAGR_M)^Vest_Total)*(1+CDI_M)^(A49-Vest_Total),PartInt*(1+CAGR_M)^A49)))</f>
        <v/>
      </c>
      <c r="D49" s="59">
        <f>IF(Modalidade="Aquisicao direta",PartExt*(1+CAGR_M)^A49,B49*PartExt*(1+CAGR_M)^A49)</f>
        <v/>
      </c>
      <c r="E49" s="59">
        <f>baseCDI*(1+CDI_M)^A49</f>
        <v/>
      </c>
      <c r="M49" t="n">
        <v>132</v>
      </c>
      <c r="N49">
        <f>IF(Modalidade="Aquisicao direta",100,100*IF(Vest_Tipo="Unico ao final",IF(132&gt;=Vest_Total,1,0),IF(132&lt;Cliff,0,IF(132&gt;=Vest_Total,1,IF(AND(Cliff&gt;0,Vest_Total&gt;Cliff),(Cliff_Pct/100)+(1-(Cliff_Pct/100))*((132-Cliff)/(Vest_Total-Cliff)),(Cliff_Pct/100))))))</f>
        <v/>
      </c>
    </row>
    <row r="50">
      <c r="A50" t="n">
        <v>35</v>
      </c>
      <c r="B50" s="60">
        <f>IF(Vest_Tipo="Unico ao final",IF(A50&gt;=Vest_Total,1,0),IF(A50&lt;Cliff,0,IF(A50&gt;=Vest_Total,1,IF(AND(Cliff&gt;0,Vest_Total&gt;Cliff),(Cliff_Pct/100)+(1-(Cliff_Pct/100))*((A50-Cliff)/(Vest_Total-Cliff)),(Cliff_Pct/100)))))</f>
        <v/>
      </c>
      <c r="C50" s="59">
        <f>IF(Modalidade="Aquisicao direta",IF(A50&lt;Lockup_Aq,custoAq*(1+CDI_M)^A50,PartInt*(1+CAGR_M)^A50),IF(A50&lt;Vest_Total,B50*PartInt*(1+CAGR_M)^A50,IF(A50&lt;Vest_Total+Lockup_Vest,(PartInt*(1+CAGR_M)^Vest_Total)*(1+CDI_M)^(A50-Vest_Total),PartInt*(1+CAGR_M)^A50)))</f>
        <v/>
      </c>
      <c r="D50" s="59">
        <f>IF(Modalidade="Aquisicao direta",PartExt*(1+CAGR_M)^A50,B50*PartExt*(1+CAGR_M)^A50)</f>
        <v/>
      </c>
      <c r="E50" s="59">
        <f>baseCDI*(1+CDI_M)^A50</f>
        <v/>
      </c>
      <c r="M50" t="n">
        <v>136</v>
      </c>
      <c r="N50">
        <f>IF(Modalidade="Aquisicao direta",100,100*IF(Vest_Tipo="Unico ao final",IF(136&gt;=Vest_Total,1,0),IF(136&lt;Cliff,0,IF(136&gt;=Vest_Total,1,IF(AND(Cliff&gt;0,Vest_Total&gt;Cliff),(Cliff_Pct/100)+(1-(Cliff_Pct/100))*((136-Cliff)/(Vest_Total-Cliff)),(Cliff_Pct/100))))))</f>
        <v/>
      </c>
    </row>
    <row r="51">
      <c r="A51" t="n">
        <v>36</v>
      </c>
      <c r="B51" s="60">
        <f>IF(Vest_Tipo="Unico ao final",IF(A51&gt;=Vest_Total,1,0),IF(A51&lt;Cliff,0,IF(A51&gt;=Vest_Total,1,IF(AND(Cliff&gt;0,Vest_Total&gt;Cliff),(Cliff_Pct/100)+(1-(Cliff_Pct/100))*((A51-Cliff)/(Vest_Total-Cliff)),(Cliff_Pct/100)))))</f>
        <v/>
      </c>
      <c r="C51" s="59">
        <f>IF(Modalidade="Aquisicao direta",IF(A51&lt;Lockup_Aq,custoAq*(1+CDI_M)^A51,PartInt*(1+CAGR_M)^A51),IF(A51&lt;Vest_Total,B51*PartInt*(1+CAGR_M)^A51,IF(A51&lt;Vest_Total+Lockup_Vest,(PartInt*(1+CAGR_M)^Vest_Total)*(1+CDI_M)^(A51-Vest_Total),PartInt*(1+CAGR_M)^A51)))</f>
        <v/>
      </c>
      <c r="D51" s="59">
        <f>IF(Modalidade="Aquisicao direta",PartExt*(1+CAGR_M)^A51,B51*PartExt*(1+CAGR_M)^A51)</f>
        <v/>
      </c>
      <c r="E51" s="59">
        <f>baseCDI*(1+CDI_M)^A51</f>
        <v/>
      </c>
      <c r="M51" t="n">
        <v>140</v>
      </c>
      <c r="N51">
        <f>IF(Modalidade="Aquisicao direta",100,100*IF(Vest_Tipo="Unico ao final",IF(140&gt;=Vest_Total,1,0),IF(140&lt;Cliff,0,IF(140&gt;=Vest_Total,1,IF(AND(Cliff&gt;0,Vest_Total&gt;Cliff),(Cliff_Pct/100)+(1-(Cliff_Pct/100))*((140-Cliff)/(Vest_Total-Cliff)),(Cliff_Pct/100))))))</f>
        <v/>
      </c>
    </row>
    <row r="52">
      <c r="A52" t="n">
        <v>37</v>
      </c>
      <c r="B52" s="60">
        <f>IF(Vest_Tipo="Unico ao final",IF(A52&gt;=Vest_Total,1,0),IF(A52&lt;Cliff,0,IF(A52&gt;=Vest_Total,1,IF(AND(Cliff&gt;0,Vest_Total&gt;Cliff),(Cliff_Pct/100)+(1-(Cliff_Pct/100))*((A52-Cliff)/(Vest_Total-Cliff)),(Cliff_Pct/100)))))</f>
        <v/>
      </c>
      <c r="C52" s="59">
        <f>IF(Modalidade="Aquisicao direta",IF(A52&lt;Lockup_Aq,custoAq*(1+CDI_M)^A52,PartInt*(1+CAGR_M)^A52),IF(A52&lt;Vest_Total,B52*PartInt*(1+CAGR_M)^A52,IF(A52&lt;Vest_Total+Lockup_Vest,(PartInt*(1+CAGR_M)^Vest_Total)*(1+CDI_M)^(A52-Vest_Total),PartInt*(1+CAGR_M)^A52)))</f>
        <v/>
      </c>
      <c r="D52" s="59">
        <f>IF(Modalidade="Aquisicao direta",PartExt*(1+CAGR_M)^A52,B52*PartExt*(1+CAGR_M)^A52)</f>
        <v/>
      </c>
      <c r="E52" s="59">
        <f>baseCDI*(1+CDI_M)^A52</f>
        <v/>
      </c>
      <c r="M52" t="n">
        <v>144</v>
      </c>
      <c r="N52">
        <f>IF(Modalidade="Aquisicao direta",100,100*IF(Vest_Tipo="Unico ao final",IF(144&gt;=Vest_Total,1,0),IF(144&lt;Cliff,0,IF(144&gt;=Vest_Total,1,IF(AND(Cliff&gt;0,Vest_Total&gt;Cliff),(Cliff_Pct/100)+(1-(Cliff_Pct/100))*((144-Cliff)/(Vest_Total-Cliff)),(Cliff_Pct/100))))))</f>
        <v/>
      </c>
    </row>
    <row r="53">
      <c r="A53" t="n">
        <v>38</v>
      </c>
      <c r="B53" s="60">
        <f>IF(Vest_Tipo="Unico ao final",IF(A53&gt;=Vest_Total,1,0),IF(A53&lt;Cliff,0,IF(A53&gt;=Vest_Total,1,IF(AND(Cliff&gt;0,Vest_Total&gt;Cliff),(Cliff_Pct/100)+(1-(Cliff_Pct/100))*((A53-Cliff)/(Vest_Total-Cliff)),(Cliff_Pct/100)))))</f>
        <v/>
      </c>
      <c r="C53" s="59">
        <f>IF(Modalidade="Aquisicao direta",IF(A53&lt;Lockup_Aq,custoAq*(1+CDI_M)^A53,PartInt*(1+CAGR_M)^A53),IF(A53&lt;Vest_Total,B53*PartInt*(1+CAGR_M)^A53,IF(A53&lt;Vest_Total+Lockup_Vest,(PartInt*(1+CAGR_M)^Vest_Total)*(1+CDI_M)^(A53-Vest_Total),PartInt*(1+CAGR_M)^A53)))</f>
        <v/>
      </c>
      <c r="D53" s="59">
        <f>IF(Modalidade="Aquisicao direta",PartExt*(1+CAGR_M)^A53,B53*PartExt*(1+CAGR_M)^A53)</f>
        <v/>
      </c>
      <c r="E53" s="59">
        <f>baseCDI*(1+CDI_M)^A53</f>
        <v/>
      </c>
      <c r="M53" t="n">
        <v>148</v>
      </c>
      <c r="N53">
        <f>IF(Modalidade="Aquisicao direta",100,100*IF(Vest_Tipo="Unico ao final",IF(148&gt;=Vest_Total,1,0),IF(148&lt;Cliff,0,IF(148&gt;=Vest_Total,1,IF(AND(Cliff&gt;0,Vest_Total&gt;Cliff),(Cliff_Pct/100)+(1-(Cliff_Pct/100))*((148-Cliff)/(Vest_Total-Cliff)),(Cliff_Pct/100))))))</f>
        <v/>
      </c>
    </row>
    <row r="54">
      <c r="A54" t="n">
        <v>39</v>
      </c>
      <c r="B54" s="60">
        <f>IF(Vest_Tipo="Unico ao final",IF(A54&gt;=Vest_Total,1,0),IF(A54&lt;Cliff,0,IF(A54&gt;=Vest_Total,1,IF(AND(Cliff&gt;0,Vest_Total&gt;Cliff),(Cliff_Pct/100)+(1-(Cliff_Pct/100))*((A54-Cliff)/(Vest_Total-Cliff)),(Cliff_Pct/100)))))</f>
        <v/>
      </c>
      <c r="C54" s="59">
        <f>IF(Modalidade="Aquisicao direta",IF(A54&lt;Lockup_Aq,custoAq*(1+CDI_M)^A54,PartInt*(1+CAGR_M)^A54),IF(A54&lt;Vest_Total,B54*PartInt*(1+CAGR_M)^A54,IF(A54&lt;Vest_Total+Lockup_Vest,(PartInt*(1+CAGR_M)^Vest_Total)*(1+CDI_M)^(A54-Vest_Total),PartInt*(1+CAGR_M)^A54)))</f>
        <v/>
      </c>
      <c r="D54" s="59">
        <f>IF(Modalidade="Aquisicao direta",PartExt*(1+CAGR_M)^A54,B54*PartExt*(1+CAGR_M)^A54)</f>
        <v/>
      </c>
      <c r="E54" s="59">
        <f>baseCDI*(1+CDI_M)^A54</f>
        <v/>
      </c>
      <c r="M54" t="n">
        <v>152</v>
      </c>
      <c r="N54">
        <f>IF(Modalidade="Aquisicao direta",100,100*IF(Vest_Tipo="Unico ao final",IF(152&gt;=Vest_Total,1,0),IF(152&lt;Cliff,0,IF(152&gt;=Vest_Total,1,IF(AND(Cliff&gt;0,Vest_Total&gt;Cliff),(Cliff_Pct/100)+(1-(Cliff_Pct/100))*((152-Cliff)/(Vest_Total-Cliff)),(Cliff_Pct/100))))))</f>
        <v/>
      </c>
    </row>
    <row r="55">
      <c r="A55" t="n">
        <v>40</v>
      </c>
      <c r="B55" s="60">
        <f>IF(Vest_Tipo="Unico ao final",IF(A55&gt;=Vest_Total,1,0),IF(A55&lt;Cliff,0,IF(A55&gt;=Vest_Total,1,IF(AND(Cliff&gt;0,Vest_Total&gt;Cliff),(Cliff_Pct/100)+(1-(Cliff_Pct/100))*((A55-Cliff)/(Vest_Total-Cliff)),(Cliff_Pct/100)))))</f>
        <v/>
      </c>
      <c r="C55" s="59">
        <f>IF(Modalidade="Aquisicao direta",IF(A55&lt;Lockup_Aq,custoAq*(1+CDI_M)^A55,PartInt*(1+CAGR_M)^A55),IF(A55&lt;Vest_Total,B55*PartInt*(1+CAGR_M)^A55,IF(A55&lt;Vest_Total+Lockup_Vest,(PartInt*(1+CAGR_M)^Vest_Total)*(1+CDI_M)^(A55-Vest_Total),PartInt*(1+CAGR_M)^A55)))</f>
        <v/>
      </c>
      <c r="D55" s="59">
        <f>IF(Modalidade="Aquisicao direta",PartExt*(1+CAGR_M)^A55,B55*PartExt*(1+CAGR_M)^A55)</f>
        <v/>
      </c>
      <c r="E55" s="59">
        <f>baseCDI*(1+CDI_M)^A55</f>
        <v/>
      </c>
      <c r="M55" t="n">
        <v>156</v>
      </c>
      <c r="N55">
        <f>IF(Modalidade="Aquisicao direta",100,100*IF(Vest_Tipo="Unico ao final",IF(156&gt;=Vest_Total,1,0),IF(156&lt;Cliff,0,IF(156&gt;=Vest_Total,1,IF(AND(Cliff&gt;0,Vest_Total&gt;Cliff),(Cliff_Pct/100)+(1-(Cliff_Pct/100))*((156-Cliff)/(Vest_Total-Cliff)),(Cliff_Pct/100))))))</f>
        <v/>
      </c>
    </row>
    <row r="56">
      <c r="A56" t="n">
        <v>41</v>
      </c>
      <c r="B56" s="60">
        <f>IF(Vest_Tipo="Unico ao final",IF(A56&gt;=Vest_Total,1,0),IF(A56&lt;Cliff,0,IF(A56&gt;=Vest_Total,1,IF(AND(Cliff&gt;0,Vest_Total&gt;Cliff),(Cliff_Pct/100)+(1-(Cliff_Pct/100))*((A56-Cliff)/(Vest_Total-Cliff)),(Cliff_Pct/100)))))</f>
        <v/>
      </c>
      <c r="C56" s="59">
        <f>IF(Modalidade="Aquisicao direta",IF(A56&lt;Lockup_Aq,custoAq*(1+CDI_M)^A56,PartInt*(1+CAGR_M)^A56),IF(A56&lt;Vest_Total,B56*PartInt*(1+CAGR_M)^A56,IF(A56&lt;Vest_Total+Lockup_Vest,(PartInt*(1+CAGR_M)^Vest_Total)*(1+CDI_M)^(A56-Vest_Total),PartInt*(1+CAGR_M)^A56)))</f>
        <v/>
      </c>
      <c r="D56" s="59">
        <f>IF(Modalidade="Aquisicao direta",PartExt*(1+CAGR_M)^A56,B56*PartExt*(1+CAGR_M)^A56)</f>
        <v/>
      </c>
      <c r="E56" s="59">
        <f>baseCDI*(1+CDI_M)^A56</f>
        <v/>
      </c>
      <c r="M56" t="n">
        <v>160</v>
      </c>
      <c r="N56">
        <f>IF(Modalidade="Aquisicao direta",100,100*IF(Vest_Tipo="Unico ao final",IF(160&gt;=Vest_Total,1,0),IF(160&lt;Cliff,0,IF(160&gt;=Vest_Total,1,IF(AND(Cliff&gt;0,Vest_Total&gt;Cliff),(Cliff_Pct/100)+(1-(Cliff_Pct/100))*((160-Cliff)/(Vest_Total-Cliff)),(Cliff_Pct/100))))))</f>
        <v/>
      </c>
    </row>
    <row r="57">
      <c r="A57" t="n">
        <v>42</v>
      </c>
      <c r="B57" s="60">
        <f>IF(Vest_Tipo="Unico ao final",IF(A57&gt;=Vest_Total,1,0),IF(A57&lt;Cliff,0,IF(A57&gt;=Vest_Total,1,IF(AND(Cliff&gt;0,Vest_Total&gt;Cliff),(Cliff_Pct/100)+(1-(Cliff_Pct/100))*((A57-Cliff)/(Vest_Total-Cliff)),(Cliff_Pct/100)))))</f>
        <v/>
      </c>
      <c r="C57" s="59">
        <f>IF(Modalidade="Aquisicao direta",IF(A57&lt;Lockup_Aq,custoAq*(1+CDI_M)^A57,PartInt*(1+CAGR_M)^A57),IF(A57&lt;Vest_Total,B57*PartInt*(1+CAGR_M)^A57,IF(A57&lt;Vest_Total+Lockup_Vest,(PartInt*(1+CAGR_M)^Vest_Total)*(1+CDI_M)^(A57-Vest_Total),PartInt*(1+CAGR_M)^A57)))</f>
        <v/>
      </c>
      <c r="D57" s="59">
        <f>IF(Modalidade="Aquisicao direta",PartExt*(1+CAGR_M)^A57,B57*PartExt*(1+CAGR_M)^A57)</f>
        <v/>
      </c>
      <c r="E57" s="59">
        <f>baseCDI*(1+CDI_M)^A57</f>
        <v/>
      </c>
      <c r="M57" t="n">
        <v>164</v>
      </c>
      <c r="N57">
        <f>IF(Modalidade="Aquisicao direta",100,100*IF(Vest_Tipo="Unico ao final",IF(164&gt;=Vest_Total,1,0),IF(164&lt;Cliff,0,IF(164&gt;=Vest_Total,1,IF(AND(Cliff&gt;0,Vest_Total&gt;Cliff),(Cliff_Pct/100)+(1-(Cliff_Pct/100))*((164-Cliff)/(Vest_Total-Cliff)),(Cliff_Pct/100))))))</f>
        <v/>
      </c>
    </row>
    <row r="58">
      <c r="A58" t="n">
        <v>43</v>
      </c>
      <c r="B58" s="60">
        <f>IF(Vest_Tipo="Unico ao final",IF(A58&gt;=Vest_Total,1,0),IF(A58&lt;Cliff,0,IF(A58&gt;=Vest_Total,1,IF(AND(Cliff&gt;0,Vest_Total&gt;Cliff),(Cliff_Pct/100)+(1-(Cliff_Pct/100))*((A58-Cliff)/(Vest_Total-Cliff)),(Cliff_Pct/100)))))</f>
        <v/>
      </c>
      <c r="C58" s="59">
        <f>IF(Modalidade="Aquisicao direta",IF(A58&lt;Lockup_Aq,custoAq*(1+CDI_M)^A58,PartInt*(1+CAGR_M)^A58),IF(A58&lt;Vest_Total,B58*PartInt*(1+CAGR_M)^A58,IF(A58&lt;Vest_Total+Lockup_Vest,(PartInt*(1+CAGR_M)^Vest_Total)*(1+CDI_M)^(A58-Vest_Total),PartInt*(1+CAGR_M)^A58)))</f>
        <v/>
      </c>
      <c r="D58" s="59">
        <f>IF(Modalidade="Aquisicao direta",PartExt*(1+CAGR_M)^A58,B58*PartExt*(1+CAGR_M)^A58)</f>
        <v/>
      </c>
      <c r="E58" s="59">
        <f>baseCDI*(1+CDI_M)^A58</f>
        <v/>
      </c>
      <c r="M58" t="n">
        <v>168</v>
      </c>
      <c r="N58">
        <f>IF(Modalidade="Aquisicao direta",100,100*IF(Vest_Tipo="Unico ao final",IF(168&gt;=Vest_Total,1,0),IF(168&lt;Cliff,0,IF(168&gt;=Vest_Total,1,IF(AND(Cliff&gt;0,Vest_Total&gt;Cliff),(Cliff_Pct/100)+(1-(Cliff_Pct/100))*((168-Cliff)/(Vest_Total-Cliff)),(Cliff_Pct/100))))))</f>
        <v/>
      </c>
    </row>
    <row r="59">
      <c r="A59" t="n">
        <v>44</v>
      </c>
      <c r="B59" s="60">
        <f>IF(Vest_Tipo="Unico ao final",IF(A59&gt;=Vest_Total,1,0),IF(A59&lt;Cliff,0,IF(A59&gt;=Vest_Total,1,IF(AND(Cliff&gt;0,Vest_Total&gt;Cliff),(Cliff_Pct/100)+(1-(Cliff_Pct/100))*((A59-Cliff)/(Vest_Total-Cliff)),(Cliff_Pct/100)))))</f>
        <v/>
      </c>
      <c r="C59" s="59">
        <f>IF(Modalidade="Aquisicao direta",IF(A59&lt;Lockup_Aq,custoAq*(1+CDI_M)^A59,PartInt*(1+CAGR_M)^A59),IF(A59&lt;Vest_Total,B59*PartInt*(1+CAGR_M)^A59,IF(A59&lt;Vest_Total+Lockup_Vest,(PartInt*(1+CAGR_M)^Vest_Total)*(1+CDI_M)^(A59-Vest_Total),PartInt*(1+CAGR_M)^A59)))</f>
        <v/>
      </c>
      <c r="D59" s="59">
        <f>IF(Modalidade="Aquisicao direta",PartExt*(1+CAGR_M)^A59,B59*PartExt*(1+CAGR_M)^A59)</f>
        <v/>
      </c>
      <c r="E59" s="59">
        <f>baseCDI*(1+CDI_M)^A59</f>
        <v/>
      </c>
      <c r="M59" t="n">
        <v>172</v>
      </c>
      <c r="N59">
        <f>IF(Modalidade="Aquisicao direta",100,100*IF(Vest_Tipo="Unico ao final",IF(172&gt;=Vest_Total,1,0),IF(172&lt;Cliff,0,IF(172&gt;=Vest_Total,1,IF(AND(Cliff&gt;0,Vest_Total&gt;Cliff),(Cliff_Pct/100)+(1-(Cliff_Pct/100))*((172-Cliff)/(Vest_Total-Cliff)),(Cliff_Pct/100))))))</f>
        <v/>
      </c>
    </row>
    <row r="60">
      <c r="A60" t="n">
        <v>45</v>
      </c>
      <c r="B60" s="60">
        <f>IF(Vest_Tipo="Unico ao final",IF(A60&gt;=Vest_Total,1,0),IF(A60&lt;Cliff,0,IF(A60&gt;=Vest_Total,1,IF(AND(Cliff&gt;0,Vest_Total&gt;Cliff),(Cliff_Pct/100)+(1-(Cliff_Pct/100))*((A60-Cliff)/(Vest_Total-Cliff)),(Cliff_Pct/100)))))</f>
        <v/>
      </c>
      <c r="C60" s="59">
        <f>IF(Modalidade="Aquisicao direta",IF(A60&lt;Lockup_Aq,custoAq*(1+CDI_M)^A60,PartInt*(1+CAGR_M)^A60),IF(A60&lt;Vest_Total,B60*PartInt*(1+CAGR_M)^A60,IF(A60&lt;Vest_Total+Lockup_Vest,(PartInt*(1+CAGR_M)^Vest_Total)*(1+CDI_M)^(A60-Vest_Total),PartInt*(1+CAGR_M)^A60)))</f>
        <v/>
      </c>
      <c r="D60" s="59">
        <f>IF(Modalidade="Aquisicao direta",PartExt*(1+CAGR_M)^A60,B60*PartExt*(1+CAGR_M)^A60)</f>
        <v/>
      </c>
      <c r="E60" s="59">
        <f>baseCDI*(1+CDI_M)^A60</f>
        <v/>
      </c>
      <c r="M60" t="n">
        <v>176</v>
      </c>
      <c r="N60">
        <f>IF(Modalidade="Aquisicao direta",100,100*IF(Vest_Tipo="Unico ao final",IF(176&gt;=Vest_Total,1,0),IF(176&lt;Cliff,0,IF(176&gt;=Vest_Total,1,IF(AND(Cliff&gt;0,Vest_Total&gt;Cliff),(Cliff_Pct/100)+(1-(Cliff_Pct/100))*((176-Cliff)/(Vest_Total-Cliff)),(Cliff_Pct/100))))))</f>
        <v/>
      </c>
    </row>
    <row r="61">
      <c r="A61" t="n">
        <v>46</v>
      </c>
      <c r="B61" s="60">
        <f>IF(Vest_Tipo="Unico ao final",IF(A61&gt;=Vest_Total,1,0),IF(A61&lt;Cliff,0,IF(A61&gt;=Vest_Total,1,IF(AND(Cliff&gt;0,Vest_Total&gt;Cliff),(Cliff_Pct/100)+(1-(Cliff_Pct/100))*((A61-Cliff)/(Vest_Total-Cliff)),(Cliff_Pct/100)))))</f>
        <v/>
      </c>
      <c r="C61" s="59">
        <f>IF(Modalidade="Aquisicao direta",IF(A61&lt;Lockup_Aq,custoAq*(1+CDI_M)^A61,PartInt*(1+CAGR_M)^A61),IF(A61&lt;Vest_Total,B61*PartInt*(1+CAGR_M)^A61,IF(A61&lt;Vest_Total+Lockup_Vest,(PartInt*(1+CAGR_M)^Vest_Total)*(1+CDI_M)^(A61-Vest_Total),PartInt*(1+CAGR_M)^A61)))</f>
        <v/>
      </c>
      <c r="D61" s="59">
        <f>IF(Modalidade="Aquisicao direta",PartExt*(1+CAGR_M)^A61,B61*PartExt*(1+CAGR_M)^A61)</f>
        <v/>
      </c>
      <c r="E61" s="59">
        <f>baseCDI*(1+CDI_M)^A61</f>
        <v/>
      </c>
      <c r="M61" t="n">
        <v>180</v>
      </c>
      <c r="N61">
        <f>IF(Modalidade="Aquisicao direta",100,100*IF(Vest_Tipo="Unico ao final",IF(180&gt;=Vest_Total,1,0),IF(180&lt;Cliff,0,IF(180&gt;=Vest_Total,1,IF(AND(Cliff&gt;0,Vest_Total&gt;Cliff),(Cliff_Pct/100)+(1-(Cliff_Pct/100))*((180-Cliff)/(Vest_Total-Cliff)),(Cliff_Pct/100))))))</f>
        <v/>
      </c>
    </row>
    <row r="62">
      <c r="A62" t="n">
        <v>47</v>
      </c>
      <c r="B62" s="60">
        <f>IF(Vest_Tipo="Unico ao final",IF(A62&gt;=Vest_Total,1,0),IF(A62&lt;Cliff,0,IF(A62&gt;=Vest_Total,1,IF(AND(Cliff&gt;0,Vest_Total&gt;Cliff),(Cliff_Pct/100)+(1-(Cliff_Pct/100))*((A62-Cliff)/(Vest_Total-Cliff)),(Cliff_Pct/100)))))</f>
        <v/>
      </c>
      <c r="C62" s="59">
        <f>IF(Modalidade="Aquisicao direta",IF(A62&lt;Lockup_Aq,custoAq*(1+CDI_M)^A62,PartInt*(1+CAGR_M)^A62),IF(A62&lt;Vest_Total,B62*PartInt*(1+CAGR_M)^A62,IF(A62&lt;Vest_Total+Lockup_Vest,(PartInt*(1+CAGR_M)^Vest_Total)*(1+CDI_M)^(A62-Vest_Total),PartInt*(1+CAGR_M)^A62)))</f>
        <v/>
      </c>
      <c r="D62" s="59">
        <f>IF(Modalidade="Aquisicao direta",PartExt*(1+CAGR_M)^A62,B62*PartExt*(1+CAGR_M)^A62)</f>
        <v/>
      </c>
      <c r="E62" s="59">
        <f>baseCDI*(1+CDI_M)^A62</f>
        <v/>
      </c>
      <c r="M62" t="n">
        <v>184</v>
      </c>
      <c r="N62">
        <f>IF(Modalidade="Aquisicao direta",100,100*IF(Vest_Tipo="Unico ao final",IF(184&gt;=Vest_Total,1,0),IF(184&lt;Cliff,0,IF(184&gt;=Vest_Total,1,IF(AND(Cliff&gt;0,Vest_Total&gt;Cliff),(Cliff_Pct/100)+(1-(Cliff_Pct/100))*((184-Cliff)/(Vest_Total-Cliff)),(Cliff_Pct/100))))))</f>
        <v/>
      </c>
    </row>
    <row r="63">
      <c r="A63" t="n">
        <v>48</v>
      </c>
      <c r="B63" s="60">
        <f>IF(Vest_Tipo="Unico ao final",IF(A63&gt;=Vest_Total,1,0),IF(A63&lt;Cliff,0,IF(A63&gt;=Vest_Total,1,IF(AND(Cliff&gt;0,Vest_Total&gt;Cliff),(Cliff_Pct/100)+(1-(Cliff_Pct/100))*((A63-Cliff)/(Vest_Total-Cliff)),(Cliff_Pct/100)))))</f>
        <v/>
      </c>
      <c r="C63" s="59">
        <f>IF(Modalidade="Aquisicao direta",IF(A63&lt;Lockup_Aq,custoAq*(1+CDI_M)^A63,PartInt*(1+CAGR_M)^A63),IF(A63&lt;Vest_Total,B63*PartInt*(1+CAGR_M)^A63,IF(A63&lt;Vest_Total+Lockup_Vest,(PartInt*(1+CAGR_M)^Vest_Total)*(1+CDI_M)^(A63-Vest_Total),PartInt*(1+CAGR_M)^A63)))</f>
        <v/>
      </c>
      <c r="D63" s="59">
        <f>IF(Modalidade="Aquisicao direta",PartExt*(1+CAGR_M)^A63,B63*PartExt*(1+CAGR_M)^A63)</f>
        <v/>
      </c>
      <c r="E63" s="59">
        <f>baseCDI*(1+CDI_M)^A63</f>
        <v/>
      </c>
      <c r="M63" t="n">
        <v>188</v>
      </c>
      <c r="N63">
        <f>IF(Modalidade="Aquisicao direta",100,100*IF(Vest_Tipo="Unico ao final",IF(188&gt;=Vest_Total,1,0),IF(188&lt;Cliff,0,IF(188&gt;=Vest_Total,1,IF(AND(Cliff&gt;0,Vest_Total&gt;Cliff),(Cliff_Pct/100)+(1-(Cliff_Pct/100))*((188-Cliff)/(Vest_Total-Cliff)),(Cliff_Pct/100))))))</f>
        <v/>
      </c>
    </row>
    <row r="64">
      <c r="A64" t="n">
        <v>49</v>
      </c>
      <c r="B64" s="60">
        <f>IF(Vest_Tipo="Unico ao final",IF(A64&gt;=Vest_Total,1,0),IF(A64&lt;Cliff,0,IF(A64&gt;=Vest_Total,1,IF(AND(Cliff&gt;0,Vest_Total&gt;Cliff),(Cliff_Pct/100)+(1-(Cliff_Pct/100))*((A64-Cliff)/(Vest_Total-Cliff)),(Cliff_Pct/100)))))</f>
        <v/>
      </c>
      <c r="C64" s="59">
        <f>IF(Modalidade="Aquisicao direta",IF(A64&lt;Lockup_Aq,custoAq*(1+CDI_M)^A64,PartInt*(1+CAGR_M)^A64),IF(A64&lt;Vest_Total,B64*PartInt*(1+CAGR_M)^A64,IF(A64&lt;Vest_Total+Lockup_Vest,(PartInt*(1+CAGR_M)^Vest_Total)*(1+CDI_M)^(A64-Vest_Total),PartInt*(1+CAGR_M)^A64)))</f>
        <v/>
      </c>
      <c r="D64" s="59">
        <f>IF(Modalidade="Aquisicao direta",PartExt*(1+CAGR_M)^A64,B64*PartExt*(1+CAGR_M)^A64)</f>
        <v/>
      </c>
      <c r="E64" s="59">
        <f>baseCDI*(1+CDI_M)^A64</f>
        <v/>
      </c>
      <c r="M64" t="n">
        <v>192</v>
      </c>
      <c r="N64">
        <f>IF(Modalidade="Aquisicao direta",100,100*IF(Vest_Tipo="Unico ao final",IF(192&gt;=Vest_Total,1,0),IF(192&lt;Cliff,0,IF(192&gt;=Vest_Total,1,IF(AND(Cliff&gt;0,Vest_Total&gt;Cliff),(Cliff_Pct/100)+(1-(Cliff_Pct/100))*((192-Cliff)/(Vest_Total-Cliff)),(Cliff_Pct/100))))))</f>
        <v/>
      </c>
    </row>
    <row r="65">
      <c r="A65" t="n">
        <v>50</v>
      </c>
      <c r="B65" s="60">
        <f>IF(Vest_Tipo="Unico ao final",IF(A65&gt;=Vest_Total,1,0),IF(A65&lt;Cliff,0,IF(A65&gt;=Vest_Total,1,IF(AND(Cliff&gt;0,Vest_Total&gt;Cliff),(Cliff_Pct/100)+(1-(Cliff_Pct/100))*((A65-Cliff)/(Vest_Total-Cliff)),(Cliff_Pct/100)))))</f>
        <v/>
      </c>
      <c r="C65" s="59">
        <f>IF(Modalidade="Aquisicao direta",IF(A65&lt;Lockup_Aq,custoAq*(1+CDI_M)^A65,PartInt*(1+CAGR_M)^A65),IF(A65&lt;Vest_Total,B65*PartInt*(1+CAGR_M)^A65,IF(A65&lt;Vest_Total+Lockup_Vest,(PartInt*(1+CAGR_M)^Vest_Total)*(1+CDI_M)^(A65-Vest_Total),PartInt*(1+CAGR_M)^A65)))</f>
        <v/>
      </c>
      <c r="D65" s="59">
        <f>IF(Modalidade="Aquisicao direta",PartExt*(1+CAGR_M)^A65,B65*PartExt*(1+CAGR_M)^A65)</f>
        <v/>
      </c>
      <c r="E65" s="59">
        <f>baseCDI*(1+CDI_M)^A65</f>
        <v/>
      </c>
      <c r="M65" t="n">
        <v>196</v>
      </c>
      <c r="N65">
        <f>IF(Modalidade="Aquisicao direta",100,100*IF(Vest_Tipo="Unico ao final",IF(196&gt;=Vest_Total,1,0),IF(196&lt;Cliff,0,IF(196&gt;=Vest_Total,1,IF(AND(Cliff&gt;0,Vest_Total&gt;Cliff),(Cliff_Pct/100)+(1-(Cliff_Pct/100))*((196-Cliff)/(Vest_Total-Cliff)),(Cliff_Pct/100))))))</f>
        <v/>
      </c>
    </row>
    <row r="66">
      <c r="A66" t="n">
        <v>51</v>
      </c>
      <c r="B66" s="60">
        <f>IF(Vest_Tipo="Unico ao final",IF(A66&gt;=Vest_Total,1,0),IF(A66&lt;Cliff,0,IF(A66&gt;=Vest_Total,1,IF(AND(Cliff&gt;0,Vest_Total&gt;Cliff),(Cliff_Pct/100)+(1-(Cliff_Pct/100))*((A66-Cliff)/(Vest_Total-Cliff)),(Cliff_Pct/100)))))</f>
        <v/>
      </c>
      <c r="C66" s="59">
        <f>IF(Modalidade="Aquisicao direta",IF(A66&lt;Lockup_Aq,custoAq*(1+CDI_M)^A66,PartInt*(1+CAGR_M)^A66),IF(A66&lt;Vest_Total,B66*PartInt*(1+CAGR_M)^A66,IF(A66&lt;Vest_Total+Lockup_Vest,(PartInt*(1+CAGR_M)^Vest_Total)*(1+CDI_M)^(A66-Vest_Total),PartInt*(1+CAGR_M)^A66)))</f>
        <v/>
      </c>
      <c r="D66" s="59">
        <f>IF(Modalidade="Aquisicao direta",PartExt*(1+CAGR_M)^A66,B66*PartExt*(1+CAGR_M)^A66)</f>
        <v/>
      </c>
      <c r="E66" s="59">
        <f>baseCDI*(1+CDI_M)^A66</f>
        <v/>
      </c>
      <c r="M66" t="n">
        <v>200</v>
      </c>
      <c r="N66">
        <f>IF(Modalidade="Aquisicao direta",100,100*IF(Vest_Tipo="Unico ao final",IF(200&gt;=Vest_Total,1,0),IF(200&lt;Cliff,0,IF(200&gt;=Vest_Total,1,IF(AND(Cliff&gt;0,Vest_Total&gt;Cliff),(Cliff_Pct/100)+(1-(Cliff_Pct/100))*((200-Cliff)/(Vest_Total-Cliff)),(Cliff_Pct/100))))))</f>
        <v/>
      </c>
    </row>
    <row r="67">
      <c r="A67" t="n">
        <v>52</v>
      </c>
      <c r="B67" s="60">
        <f>IF(Vest_Tipo="Unico ao final",IF(A67&gt;=Vest_Total,1,0),IF(A67&lt;Cliff,0,IF(A67&gt;=Vest_Total,1,IF(AND(Cliff&gt;0,Vest_Total&gt;Cliff),(Cliff_Pct/100)+(1-(Cliff_Pct/100))*((A67-Cliff)/(Vest_Total-Cliff)),(Cliff_Pct/100)))))</f>
        <v/>
      </c>
      <c r="C67" s="59">
        <f>IF(Modalidade="Aquisicao direta",IF(A67&lt;Lockup_Aq,custoAq*(1+CDI_M)^A67,PartInt*(1+CAGR_M)^A67),IF(A67&lt;Vest_Total,B67*PartInt*(1+CAGR_M)^A67,IF(A67&lt;Vest_Total+Lockup_Vest,(PartInt*(1+CAGR_M)^Vest_Total)*(1+CDI_M)^(A67-Vest_Total),PartInt*(1+CAGR_M)^A67)))</f>
        <v/>
      </c>
      <c r="D67" s="59">
        <f>IF(Modalidade="Aquisicao direta",PartExt*(1+CAGR_M)^A67,B67*PartExt*(1+CAGR_M)^A67)</f>
        <v/>
      </c>
      <c r="E67" s="59">
        <f>baseCDI*(1+CDI_M)^A67</f>
        <v/>
      </c>
      <c r="M67" t="n">
        <v>204</v>
      </c>
      <c r="N67">
        <f>IF(Modalidade="Aquisicao direta",100,100*IF(Vest_Tipo="Unico ao final",IF(204&gt;=Vest_Total,1,0),IF(204&lt;Cliff,0,IF(204&gt;=Vest_Total,1,IF(AND(Cliff&gt;0,Vest_Total&gt;Cliff),(Cliff_Pct/100)+(1-(Cliff_Pct/100))*((204-Cliff)/(Vest_Total-Cliff)),(Cliff_Pct/100))))))</f>
        <v/>
      </c>
    </row>
    <row r="68">
      <c r="A68" t="n">
        <v>53</v>
      </c>
      <c r="B68" s="60">
        <f>IF(Vest_Tipo="Unico ao final",IF(A68&gt;=Vest_Total,1,0),IF(A68&lt;Cliff,0,IF(A68&gt;=Vest_Total,1,IF(AND(Cliff&gt;0,Vest_Total&gt;Cliff),(Cliff_Pct/100)+(1-(Cliff_Pct/100))*((A68-Cliff)/(Vest_Total-Cliff)),(Cliff_Pct/100)))))</f>
        <v/>
      </c>
      <c r="C68" s="59">
        <f>IF(Modalidade="Aquisicao direta",IF(A68&lt;Lockup_Aq,custoAq*(1+CDI_M)^A68,PartInt*(1+CAGR_M)^A68),IF(A68&lt;Vest_Total,B68*PartInt*(1+CAGR_M)^A68,IF(A68&lt;Vest_Total+Lockup_Vest,(PartInt*(1+CAGR_M)^Vest_Total)*(1+CDI_M)^(A68-Vest_Total),PartInt*(1+CAGR_M)^A68)))</f>
        <v/>
      </c>
      <c r="D68" s="59">
        <f>IF(Modalidade="Aquisicao direta",PartExt*(1+CAGR_M)^A68,B68*PartExt*(1+CAGR_M)^A68)</f>
        <v/>
      </c>
      <c r="E68" s="59">
        <f>baseCDI*(1+CDI_M)^A68</f>
        <v/>
      </c>
      <c r="M68" t="n">
        <v>208</v>
      </c>
      <c r="N68">
        <f>IF(Modalidade="Aquisicao direta",100,100*IF(Vest_Tipo="Unico ao final",IF(208&gt;=Vest_Total,1,0),IF(208&lt;Cliff,0,IF(208&gt;=Vest_Total,1,IF(AND(Cliff&gt;0,Vest_Total&gt;Cliff),(Cliff_Pct/100)+(1-(Cliff_Pct/100))*((208-Cliff)/(Vest_Total-Cliff)),(Cliff_Pct/100))))))</f>
        <v/>
      </c>
    </row>
    <row r="69">
      <c r="A69" t="n">
        <v>54</v>
      </c>
      <c r="B69" s="60">
        <f>IF(Vest_Tipo="Unico ao final",IF(A69&gt;=Vest_Total,1,0),IF(A69&lt;Cliff,0,IF(A69&gt;=Vest_Total,1,IF(AND(Cliff&gt;0,Vest_Total&gt;Cliff),(Cliff_Pct/100)+(1-(Cliff_Pct/100))*((A69-Cliff)/(Vest_Total-Cliff)),(Cliff_Pct/100)))))</f>
        <v/>
      </c>
      <c r="C69" s="59">
        <f>IF(Modalidade="Aquisicao direta",IF(A69&lt;Lockup_Aq,custoAq*(1+CDI_M)^A69,PartInt*(1+CAGR_M)^A69),IF(A69&lt;Vest_Total,B69*PartInt*(1+CAGR_M)^A69,IF(A69&lt;Vest_Total+Lockup_Vest,(PartInt*(1+CAGR_M)^Vest_Total)*(1+CDI_M)^(A69-Vest_Total),PartInt*(1+CAGR_M)^A69)))</f>
        <v/>
      </c>
      <c r="D69" s="59">
        <f>IF(Modalidade="Aquisicao direta",PartExt*(1+CAGR_M)^A69,B69*PartExt*(1+CAGR_M)^A69)</f>
        <v/>
      </c>
      <c r="E69" s="59">
        <f>baseCDI*(1+CDI_M)^A69</f>
        <v/>
      </c>
      <c r="M69" t="n">
        <v>212</v>
      </c>
      <c r="N69">
        <f>IF(Modalidade="Aquisicao direta",100,100*IF(Vest_Tipo="Unico ao final",IF(212&gt;=Vest_Total,1,0),IF(212&lt;Cliff,0,IF(212&gt;=Vest_Total,1,IF(AND(Cliff&gt;0,Vest_Total&gt;Cliff),(Cliff_Pct/100)+(1-(Cliff_Pct/100))*((212-Cliff)/(Vest_Total-Cliff)),(Cliff_Pct/100))))))</f>
        <v/>
      </c>
    </row>
    <row r="70">
      <c r="A70" t="n">
        <v>55</v>
      </c>
      <c r="B70" s="60">
        <f>IF(Vest_Tipo="Unico ao final",IF(A70&gt;=Vest_Total,1,0),IF(A70&lt;Cliff,0,IF(A70&gt;=Vest_Total,1,IF(AND(Cliff&gt;0,Vest_Total&gt;Cliff),(Cliff_Pct/100)+(1-(Cliff_Pct/100))*((A70-Cliff)/(Vest_Total-Cliff)),(Cliff_Pct/100)))))</f>
        <v/>
      </c>
      <c r="C70" s="59">
        <f>IF(Modalidade="Aquisicao direta",IF(A70&lt;Lockup_Aq,custoAq*(1+CDI_M)^A70,PartInt*(1+CAGR_M)^A70),IF(A70&lt;Vest_Total,B70*PartInt*(1+CAGR_M)^A70,IF(A70&lt;Vest_Total+Lockup_Vest,(PartInt*(1+CAGR_M)^Vest_Total)*(1+CDI_M)^(A70-Vest_Total),PartInt*(1+CAGR_M)^A70)))</f>
        <v/>
      </c>
      <c r="D70" s="59">
        <f>IF(Modalidade="Aquisicao direta",PartExt*(1+CAGR_M)^A70,B70*PartExt*(1+CAGR_M)^A70)</f>
        <v/>
      </c>
      <c r="E70" s="59">
        <f>baseCDI*(1+CDI_M)^A70</f>
        <v/>
      </c>
      <c r="M70" t="n">
        <v>216</v>
      </c>
      <c r="N70">
        <f>IF(Modalidade="Aquisicao direta",100,100*IF(Vest_Tipo="Unico ao final",IF(216&gt;=Vest_Total,1,0),IF(216&lt;Cliff,0,IF(216&gt;=Vest_Total,1,IF(AND(Cliff&gt;0,Vest_Total&gt;Cliff),(Cliff_Pct/100)+(1-(Cliff_Pct/100))*((216-Cliff)/(Vest_Total-Cliff)),(Cliff_Pct/100))))))</f>
        <v/>
      </c>
    </row>
    <row r="71">
      <c r="A71" t="n">
        <v>56</v>
      </c>
      <c r="B71" s="60">
        <f>IF(Vest_Tipo="Unico ao final",IF(A71&gt;=Vest_Total,1,0),IF(A71&lt;Cliff,0,IF(A71&gt;=Vest_Total,1,IF(AND(Cliff&gt;0,Vest_Total&gt;Cliff),(Cliff_Pct/100)+(1-(Cliff_Pct/100))*((A71-Cliff)/(Vest_Total-Cliff)),(Cliff_Pct/100)))))</f>
        <v/>
      </c>
      <c r="C71" s="59">
        <f>IF(Modalidade="Aquisicao direta",IF(A71&lt;Lockup_Aq,custoAq*(1+CDI_M)^A71,PartInt*(1+CAGR_M)^A71),IF(A71&lt;Vest_Total,B71*PartInt*(1+CAGR_M)^A71,IF(A71&lt;Vest_Total+Lockup_Vest,(PartInt*(1+CAGR_M)^Vest_Total)*(1+CDI_M)^(A71-Vest_Total),PartInt*(1+CAGR_M)^A71)))</f>
        <v/>
      </c>
      <c r="D71" s="59">
        <f>IF(Modalidade="Aquisicao direta",PartExt*(1+CAGR_M)^A71,B71*PartExt*(1+CAGR_M)^A71)</f>
        <v/>
      </c>
      <c r="E71" s="59">
        <f>baseCDI*(1+CDI_M)^A71</f>
        <v/>
      </c>
      <c r="M71" t="n">
        <v>220</v>
      </c>
      <c r="N71">
        <f>IF(Modalidade="Aquisicao direta",100,100*IF(Vest_Tipo="Unico ao final",IF(220&gt;=Vest_Total,1,0),IF(220&lt;Cliff,0,IF(220&gt;=Vest_Total,1,IF(AND(Cliff&gt;0,Vest_Total&gt;Cliff),(Cliff_Pct/100)+(1-(Cliff_Pct/100))*((220-Cliff)/(Vest_Total-Cliff)),(Cliff_Pct/100))))))</f>
        <v/>
      </c>
    </row>
    <row r="72">
      <c r="A72" t="n">
        <v>57</v>
      </c>
      <c r="B72" s="60">
        <f>IF(Vest_Tipo="Unico ao final",IF(A72&gt;=Vest_Total,1,0),IF(A72&lt;Cliff,0,IF(A72&gt;=Vest_Total,1,IF(AND(Cliff&gt;0,Vest_Total&gt;Cliff),(Cliff_Pct/100)+(1-(Cliff_Pct/100))*((A72-Cliff)/(Vest_Total-Cliff)),(Cliff_Pct/100)))))</f>
        <v/>
      </c>
      <c r="C72" s="59">
        <f>IF(Modalidade="Aquisicao direta",IF(A72&lt;Lockup_Aq,custoAq*(1+CDI_M)^A72,PartInt*(1+CAGR_M)^A72),IF(A72&lt;Vest_Total,B72*PartInt*(1+CAGR_M)^A72,IF(A72&lt;Vest_Total+Lockup_Vest,(PartInt*(1+CAGR_M)^Vest_Total)*(1+CDI_M)^(A72-Vest_Total),PartInt*(1+CAGR_M)^A72)))</f>
        <v/>
      </c>
      <c r="D72" s="59">
        <f>IF(Modalidade="Aquisicao direta",PartExt*(1+CAGR_M)^A72,B72*PartExt*(1+CAGR_M)^A72)</f>
        <v/>
      </c>
      <c r="E72" s="59">
        <f>baseCDI*(1+CDI_M)^A72</f>
        <v/>
      </c>
      <c r="M72" t="n">
        <v>224</v>
      </c>
      <c r="N72">
        <f>IF(Modalidade="Aquisicao direta",100,100*IF(Vest_Tipo="Unico ao final",IF(224&gt;=Vest_Total,1,0),IF(224&lt;Cliff,0,IF(224&gt;=Vest_Total,1,IF(AND(Cliff&gt;0,Vest_Total&gt;Cliff),(Cliff_Pct/100)+(1-(Cliff_Pct/100))*((224-Cliff)/(Vest_Total-Cliff)),(Cliff_Pct/100))))))</f>
        <v/>
      </c>
    </row>
    <row r="73">
      <c r="A73" t="n">
        <v>58</v>
      </c>
      <c r="B73" s="60">
        <f>IF(Vest_Tipo="Unico ao final",IF(A73&gt;=Vest_Total,1,0),IF(A73&lt;Cliff,0,IF(A73&gt;=Vest_Total,1,IF(AND(Cliff&gt;0,Vest_Total&gt;Cliff),(Cliff_Pct/100)+(1-(Cliff_Pct/100))*((A73-Cliff)/(Vest_Total-Cliff)),(Cliff_Pct/100)))))</f>
        <v/>
      </c>
      <c r="C73" s="59">
        <f>IF(Modalidade="Aquisicao direta",IF(A73&lt;Lockup_Aq,custoAq*(1+CDI_M)^A73,PartInt*(1+CAGR_M)^A73),IF(A73&lt;Vest_Total,B73*PartInt*(1+CAGR_M)^A73,IF(A73&lt;Vest_Total+Lockup_Vest,(PartInt*(1+CAGR_M)^Vest_Total)*(1+CDI_M)^(A73-Vest_Total),PartInt*(1+CAGR_M)^A73)))</f>
        <v/>
      </c>
      <c r="D73" s="59">
        <f>IF(Modalidade="Aquisicao direta",PartExt*(1+CAGR_M)^A73,B73*PartExt*(1+CAGR_M)^A73)</f>
        <v/>
      </c>
      <c r="E73" s="59">
        <f>baseCDI*(1+CDI_M)^A73</f>
        <v/>
      </c>
      <c r="M73" t="n">
        <v>228</v>
      </c>
      <c r="N73">
        <f>IF(Modalidade="Aquisicao direta",100,100*IF(Vest_Tipo="Unico ao final",IF(228&gt;=Vest_Total,1,0),IF(228&lt;Cliff,0,IF(228&gt;=Vest_Total,1,IF(AND(Cliff&gt;0,Vest_Total&gt;Cliff),(Cliff_Pct/100)+(1-(Cliff_Pct/100))*((228-Cliff)/(Vest_Total-Cliff)),(Cliff_Pct/100))))))</f>
        <v/>
      </c>
    </row>
    <row r="74">
      <c r="A74" t="n">
        <v>59</v>
      </c>
      <c r="B74" s="60">
        <f>IF(Vest_Tipo="Unico ao final",IF(A74&gt;=Vest_Total,1,0),IF(A74&lt;Cliff,0,IF(A74&gt;=Vest_Total,1,IF(AND(Cliff&gt;0,Vest_Total&gt;Cliff),(Cliff_Pct/100)+(1-(Cliff_Pct/100))*((A74-Cliff)/(Vest_Total-Cliff)),(Cliff_Pct/100)))))</f>
        <v/>
      </c>
      <c r="C74" s="59">
        <f>IF(Modalidade="Aquisicao direta",IF(A74&lt;Lockup_Aq,custoAq*(1+CDI_M)^A74,PartInt*(1+CAGR_M)^A74),IF(A74&lt;Vest_Total,B74*PartInt*(1+CAGR_M)^A74,IF(A74&lt;Vest_Total+Lockup_Vest,(PartInt*(1+CAGR_M)^Vest_Total)*(1+CDI_M)^(A74-Vest_Total),PartInt*(1+CAGR_M)^A74)))</f>
        <v/>
      </c>
      <c r="D74" s="59">
        <f>IF(Modalidade="Aquisicao direta",PartExt*(1+CAGR_M)^A74,B74*PartExt*(1+CAGR_M)^A74)</f>
        <v/>
      </c>
      <c r="E74" s="59">
        <f>baseCDI*(1+CDI_M)^A74</f>
        <v/>
      </c>
      <c r="M74" t="n">
        <v>232</v>
      </c>
      <c r="N74">
        <f>IF(Modalidade="Aquisicao direta",100,100*IF(Vest_Tipo="Unico ao final",IF(232&gt;=Vest_Total,1,0),IF(232&lt;Cliff,0,IF(232&gt;=Vest_Total,1,IF(AND(Cliff&gt;0,Vest_Total&gt;Cliff),(Cliff_Pct/100)+(1-(Cliff_Pct/100))*((232-Cliff)/(Vest_Total-Cliff)),(Cliff_Pct/100))))))</f>
        <v/>
      </c>
    </row>
    <row r="75">
      <c r="A75" t="n">
        <v>60</v>
      </c>
      <c r="B75" s="60">
        <f>IF(Vest_Tipo="Unico ao final",IF(A75&gt;=Vest_Total,1,0),IF(A75&lt;Cliff,0,IF(A75&gt;=Vest_Total,1,IF(AND(Cliff&gt;0,Vest_Total&gt;Cliff),(Cliff_Pct/100)+(1-(Cliff_Pct/100))*((A75-Cliff)/(Vest_Total-Cliff)),(Cliff_Pct/100)))))</f>
        <v/>
      </c>
      <c r="C75" s="59">
        <f>IF(Modalidade="Aquisicao direta",IF(A75&lt;Lockup_Aq,custoAq*(1+CDI_M)^A75,PartInt*(1+CAGR_M)^A75),IF(A75&lt;Vest_Total,B75*PartInt*(1+CAGR_M)^A75,IF(A75&lt;Vest_Total+Lockup_Vest,(PartInt*(1+CAGR_M)^Vest_Total)*(1+CDI_M)^(A75-Vest_Total),PartInt*(1+CAGR_M)^A75)))</f>
        <v/>
      </c>
      <c r="D75" s="59">
        <f>IF(Modalidade="Aquisicao direta",PartExt*(1+CAGR_M)^A75,B75*PartExt*(1+CAGR_M)^A75)</f>
        <v/>
      </c>
      <c r="E75" s="59">
        <f>baseCDI*(1+CDI_M)^A75</f>
        <v/>
      </c>
      <c r="M75" t="n">
        <v>236</v>
      </c>
      <c r="N75">
        <f>IF(Modalidade="Aquisicao direta",100,100*IF(Vest_Tipo="Unico ao final",IF(236&gt;=Vest_Total,1,0),IF(236&lt;Cliff,0,IF(236&gt;=Vest_Total,1,IF(AND(Cliff&gt;0,Vest_Total&gt;Cliff),(Cliff_Pct/100)+(1-(Cliff_Pct/100))*((236-Cliff)/(Vest_Total-Cliff)),(Cliff_Pct/100))))))</f>
        <v/>
      </c>
    </row>
    <row r="76">
      <c r="A76" t="n">
        <v>61</v>
      </c>
      <c r="B76" s="60">
        <f>IF(Vest_Tipo="Unico ao final",IF(A76&gt;=Vest_Total,1,0),IF(A76&lt;Cliff,0,IF(A76&gt;=Vest_Total,1,IF(AND(Cliff&gt;0,Vest_Total&gt;Cliff),(Cliff_Pct/100)+(1-(Cliff_Pct/100))*((A76-Cliff)/(Vest_Total-Cliff)),(Cliff_Pct/100)))))</f>
        <v/>
      </c>
      <c r="C76" s="59">
        <f>IF(Modalidade="Aquisicao direta",IF(A76&lt;Lockup_Aq,custoAq*(1+CDI_M)^A76,PartInt*(1+CAGR_M)^A76),IF(A76&lt;Vest_Total,B76*PartInt*(1+CAGR_M)^A76,IF(A76&lt;Vest_Total+Lockup_Vest,(PartInt*(1+CAGR_M)^Vest_Total)*(1+CDI_M)^(A76-Vest_Total),PartInt*(1+CAGR_M)^A76)))</f>
        <v/>
      </c>
      <c r="D76" s="59">
        <f>IF(Modalidade="Aquisicao direta",PartExt*(1+CAGR_M)^A76,B76*PartExt*(1+CAGR_M)^A76)</f>
        <v/>
      </c>
      <c r="E76" s="59">
        <f>baseCDI*(1+CDI_M)^A76</f>
        <v/>
      </c>
      <c r="M76" t="n">
        <v>240</v>
      </c>
      <c r="N76">
        <f>IF(Modalidade="Aquisicao direta",100,100*IF(Vest_Tipo="Unico ao final",IF(240&gt;=Vest_Total,1,0),IF(240&lt;Cliff,0,IF(240&gt;=Vest_Total,1,IF(AND(Cliff&gt;0,Vest_Total&gt;Cliff),(Cliff_Pct/100)+(1-(Cliff_Pct/100))*((240-Cliff)/(Vest_Total-Cliff)),(Cliff_Pct/100))))))</f>
        <v/>
      </c>
    </row>
    <row r="77">
      <c r="A77" t="n">
        <v>62</v>
      </c>
      <c r="B77" s="60">
        <f>IF(Vest_Tipo="Unico ao final",IF(A77&gt;=Vest_Total,1,0),IF(A77&lt;Cliff,0,IF(A77&gt;=Vest_Total,1,IF(AND(Cliff&gt;0,Vest_Total&gt;Cliff),(Cliff_Pct/100)+(1-(Cliff_Pct/100))*((A77-Cliff)/(Vest_Total-Cliff)),(Cliff_Pct/100)))))</f>
        <v/>
      </c>
      <c r="C77" s="59">
        <f>IF(Modalidade="Aquisicao direta",IF(A77&lt;Lockup_Aq,custoAq*(1+CDI_M)^A77,PartInt*(1+CAGR_M)^A77),IF(A77&lt;Vest_Total,B77*PartInt*(1+CAGR_M)^A77,IF(A77&lt;Vest_Total+Lockup_Vest,(PartInt*(1+CAGR_M)^Vest_Total)*(1+CDI_M)^(A77-Vest_Total),PartInt*(1+CAGR_M)^A77)))</f>
        <v/>
      </c>
      <c r="D77" s="59">
        <f>IF(Modalidade="Aquisicao direta",PartExt*(1+CAGR_M)^A77,B77*PartExt*(1+CAGR_M)^A77)</f>
        <v/>
      </c>
      <c r="E77" s="59">
        <f>baseCDI*(1+CDI_M)^A77</f>
        <v/>
      </c>
    </row>
    <row r="78">
      <c r="A78" t="n">
        <v>63</v>
      </c>
      <c r="B78" s="60">
        <f>IF(Vest_Tipo="Unico ao final",IF(A78&gt;=Vest_Total,1,0),IF(A78&lt;Cliff,0,IF(A78&gt;=Vest_Total,1,IF(AND(Cliff&gt;0,Vest_Total&gt;Cliff),(Cliff_Pct/100)+(1-(Cliff_Pct/100))*((A78-Cliff)/(Vest_Total-Cliff)),(Cliff_Pct/100)))))</f>
        <v/>
      </c>
      <c r="C78" s="59">
        <f>IF(Modalidade="Aquisicao direta",IF(A78&lt;Lockup_Aq,custoAq*(1+CDI_M)^A78,PartInt*(1+CAGR_M)^A78),IF(A78&lt;Vest_Total,B78*PartInt*(1+CAGR_M)^A78,IF(A78&lt;Vest_Total+Lockup_Vest,(PartInt*(1+CAGR_M)^Vest_Total)*(1+CDI_M)^(A78-Vest_Total),PartInt*(1+CAGR_M)^A78)))</f>
        <v/>
      </c>
      <c r="D78" s="59">
        <f>IF(Modalidade="Aquisicao direta",PartExt*(1+CAGR_M)^A78,B78*PartExt*(1+CAGR_M)^A78)</f>
        <v/>
      </c>
      <c r="E78" s="59">
        <f>baseCDI*(1+CDI_M)^A78</f>
        <v/>
      </c>
    </row>
    <row r="79">
      <c r="A79" t="n">
        <v>64</v>
      </c>
      <c r="B79" s="60">
        <f>IF(Vest_Tipo="Unico ao final",IF(A79&gt;=Vest_Total,1,0),IF(A79&lt;Cliff,0,IF(A79&gt;=Vest_Total,1,IF(AND(Cliff&gt;0,Vest_Total&gt;Cliff),(Cliff_Pct/100)+(1-(Cliff_Pct/100))*((A79-Cliff)/(Vest_Total-Cliff)),(Cliff_Pct/100)))))</f>
        <v/>
      </c>
      <c r="C79" s="59">
        <f>IF(Modalidade="Aquisicao direta",IF(A79&lt;Lockup_Aq,custoAq*(1+CDI_M)^A79,PartInt*(1+CAGR_M)^A79),IF(A79&lt;Vest_Total,B79*PartInt*(1+CAGR_M)^A79,IF(A79&lt;Vest_Total+Lockup_Vest,(PartInt*(1+CAGR_M)^Vest_Total)*(1+CDI_M)^(A79-Vest_Total),PartInt*(1+CAGR_M)^A79)))</f>
        <v/>
      </c>
      <c r="D79" s="59">
        <f>IF(Modalidade="Aquisicao direta",PartExt*(1+CAGR_M)^A79,B79*PartExt*(1+CAGR_M)^A79)</f>
        <v/>
      </c>
      <c r="E79" s="59">
        <f>baseCDI*(1+CDI_M)^A79</f>
        <v/>
      </c>
    </row>
    <row r="80">
      <c r="A80" t="n">
        <v>65</v>
      </c>
      <c r="B80" s="60">
        <f>IF(Vest_Tipo="Unico ao final",IF(A80&gt;=Vest_Total,1,0),IF(A80&lt;Cliff,0,IF(A80&gt;=Vest_Total,1,IF(AND(Cliff&gt;0,Vest_Total&gt;Cliff),(Cliff_Pct/100)+(1-(Cliff_Pct/100))*((A80-Cliff)/(Vest_Total-Cliff)),(Cliff_Pct/100)))))</f>
        <v/>
      </c>
      <c r="C80" s="59">
        <f>IF(Modalidade="Aquisicao direta",IF(A80&lt;Lockup_Aq,custoAq*(1+CDI_M)^A80,PartInt*(1+CAGR_M)^A80),IF(A80&lt;Vest_Total,B80*PartInt*(1+CAGR_M)^A80,IF(A80&lt;Vest_Total+Lockup_Vest,(PartInt*(1+CAGR_M)^Vest_Total)*(1+CDI_M)^(A80-Vest_Total),PartInt*(1+CAGR_M)^A80)))</f>
        <v/>
      </c>
      <c r="D80" s="59">
        <f>IF(Modalidade="Aquisicao direta",PartExt*(1+CAGR_M)^A80,B80*PartExt*(1+CAGR_M)^A80)</f>
        <v/>
      </c>
      <c r="E80" s="59">
        <f>baseCDI*(1+CDI_M)^A80</f>
        <v/>
      </c>
    </row>
    <row r="81">
      <c r="A81" t="n">
        <v>66</v>
      </c>
      <c r="B81" s="60">
        <f>IF(Vest_Tipo="Unico ao final",IF(A81&gt;=Vest_Total,1,0),IF(A81&lt;Cliff,0,IF(A81&gt;=Vest_Total,1,IF(AND(Cliff&gt;0,Vest_Total&gt;Cliff),(Cliff_Pct/100)+(1-(Cliff_Pct/100))*((A81-Cliff)/(Vest_Total-Cliff)),(Cliff_Pct/100)))))</f>
        <v/>
      </c>
      <c r="C81" s="59">
        <f>IF(Modalidade="Aquisicao direta",IF(A81&lt;Lockup_Aq,custoAq*(1+CDI_M)^A81,PartInt*(1+CAGR_M)^A81),IF(A81&lt;Vest_Total,B81*PartInt*(1+CAGR_M)^A81,IF(A81&lt;Vest_Total+Lockup_Vest,(PartInt*(1+CAGR_M)^Vest_Total)*(1+CDI_M)^(A81-Vest_Total),PartInt*(1+CAGR_M)^A81)))</f>
        <v/>
      </c>
      <c r="D81" s="59">
        <f>IF(Modalidade="Aquisicao direta",PartExt*(1+CAGR_M)^A81,B81*PartExt*(1+CAGR_M)^A81)</f>
        <v/>
      </c>
      <c r="E81" s="59">
        <f>baseCDI*(1+CDI_M)^A81</f>
        <v/>
      </c>
    </row>
    <row r="82">
      <c r="A82" t="n">
        <v>67</v>
      </c>
      <c r="B82" s="60">
        <f>IF(Vest_Tipo="Unico ao final",IF(A82&gt;=Vest_Total,1,0),IF(A82&lt;Cliff,0,IF(A82&gt;=Vest_Total,1,IF(AND(Cliff&gt;0,Vest_Total&gt;Cliff),(Cliff_Pct/100)+(1-(Cliff_Pct/100))*((A82-Cliff)/(Vest_Total-Cliff)),(Cliff_Pct/100)))))</f>
        <v/>
      </c>
      <c r="C82" s="59">
        <f>IF(Modalidade="Aquisicao direta",IF(A82&lt;Lockup_Aq,custoAq*(1+CDI_M)^A82,PartInt*(1+CAGR_M)^A82),IF(A82&lt;Vest_Total,B82*PartInt*(1+CAGR_M)^A82,IF(A82&lt;Vest_Total+Lockup_Vest,(PartInt*(1+CAGR_M)^Vest_Total)*(1+CDI_M)^(A82-Vest_Total),PartInt*(1+CAGR_M)^A82)))</f>
        <v/>
      </c>
      <c r="D82" s="59">
        <f>IF(Modalidade="Aquisicao direta",PartExt*(1+CAGR_M)^A82,B82*PartExt*(1+CAGR_M)^A82)</f>
        <v/>
      </c>
      <c r="E82" s="59">
        <f>baseCDI*(1+CDI_M)^A82</f>
        <v/>
      </c>
    </row>
    <row r="83">
      <c r="A83" t="n">
        <v>68</v>
      </c>
      <c r="B83" s="60">
        <f>IF(Vest_Tipo="Unico ao final",IF(A83&gt;=Vest_Total,1,0),IF(A83&lt;Cliff,0,IF(A83&gt;=Vest_Total,1,IF(AND(Cliff&gt;0,Vest_Total&gt;Cliff),(Cliff_Pct/100)+(1-(Cliff_Pct/100))*((A83-Cliff)/(Vest_Total-Cliff)),(Cliff_Pct/100)))))</f>
        <v/>
      </c>
      <c r="C83" s="59">
        <f>IF(Modalidade="Aquisicao direta",IF(A83&lt;Lockup_Aq,custoAq*(1+CDI_M)^A83,PartInt*(1+CAGR_M)^A83),IF(A83&lt;Vest_Total,B83*PartInt*(1+CAGR_M)^A83,IF(A83&lt;Vest_Total+Lockup_Vest,(PartInt*(1+CAGR_M)^Vest_Total)*(1+CDI_M)^(A83-Vest_Total),PartInt*(1+CAGR_M)^A83)))</f>
        <v/>
      </c>
      <c r="D83" s="59">
        <f>IF(Modalidade="Aquisicao direta",PartExt*(1+CAGR_M)^A83,B83*PartExt*(1+CAGR_M)^A83)</f>
        <v/>
      </c>
      <c r="E83" s="59">
        <f>baseCDI*(1+CDI_M)^A83</f>
        <v/>
      </c>
    </row>
    <row r="84">
      <c r="A84" t="n">
        <v>69</v>
      </c>
      <c r="B84" s="60">
        <f>IF(Vest_Tipo="Unico ao final",IF(A84&gt;=Vest_Total,1,0),IF(A84&lt;Cliff,0,IF(A84&gt;=Vest_Total,1,IF(AND(Cliff&gt;0,Vest_Total&gt;Cliff),(Cliff_Pct/100)+(1-(Cliff_Pct/100))*((A84-Cliff)/(Vest_Total-Cliff)),(Cliff_Pct/100)))))</f>
        <v/>
      </c>
      <c r="C84" s="59">
        <f>IF(Modalidade="Aquisicao direta",IF(A84&lt;Lockup_Aq,custoAq*(1+CDI_M)^A84,PartInt*(1+CAGR_M)^A84),IF(A84&lt;Vest_Total,B84*PartInt*(1+CAGR_M)^A84,IF(A84&lt;Vest_Total+Lockup_Vest,(PartInt*(1+CAGR_M)^Vest_Total)*(1+CDI_M)^(A84-Vest_Total),PartInt*(1+CAGR_M)^A84)))</f>
        <v/>
      </c>
      <c r="D84" s="59">
        <f>IF(Modalidade="Aquisicao direta",PartExt*(1+CAGR_M)^A84,B84*PartExt*(1+CAGR_M)^A84)</f>
        <v/>
      </c>
      <c r="E84" s="59">
        <f>baseCDI*(1+CDI_M)^A84</f>
        <v/>
      </c>
    </row>
    <row r="85">
      <c r="A85" t="n">
        <v>70</v>
      </c>
      <c r="B85" s="60">
        <f>IF(Vest_Tipo="Unico ao final",IF(A85&gt;=Vest_Total,1,0),IF(A85&lt;Cliff,0,IF(A85&gt;=Vest_Total,1,IF(AND(Cliff&gt;0,Vest_Total&gt;Cliff),(Cliff_Pct/100)+(1-(Cliff_Pct/100))*((A85-Cliff)/(Vest_Total-Cliff)),(Cliff_Pct/100)))))</f>
        <v/>
      </c>
      <c r="C85" s="59">
        <f>IF(Modalidade="Aquisicao direta",IF(A85&lt;Lockup_Aq,custoAq*(1+CDI_M)^A85,PartInt*(1+CAGR_M)^A85),IF(A85&lt;Vest_Total,B85*PartInt*(1+CAGR_M)^A85,IF(A85&lt;Vest_Total+Lockup_Vest,(PartInt*(1+CAGR_M)^Vest_Total)*(1+CDI_M)^(A85-Vest_Total),PartInt*(1+CAGR_M)^A85)))</f>
        <v/>
      </c>
      <c r="D85" s="59">
        <f>IF(Modalidade="Aquisicao direta",PartExt*(1+CAGR_M)^A85,B85*PartExt*(1+CAGR_M)^A85)</f>
        <v/>
      </c>
      <c r="E85" s="59">
        <f>baseCDI*(1+CDI_M)^A85</f>
        <v/>
      </c>
    </row>
    <row r="86">
      <c r="A86" t="n">
        <v>71</v>
      </c>
      <c r="B86" s="60">
        <f>IF(Vest_Tipo="Unico ao final",IF(A86&gt;=Vest_Total,1,0),IF(A86&lt;Cliff,0,IF(A86&gt;=Vest_Total,1,IF(AND(Cliff&gt;0,Vest_Total&gt;Cliff),(Cliff_Pct/100)+(1-(Cliff_Pct/100))*((A86-Cliff)/(Vest_Total-Cliff)),(Cliff_Pct/100)))))</f>
        <v/>
      </c>
      <c r="C86" s="59">
        <f>IF(Modalidade="Aquisicao direta",IF(A86&lt;Lockup_Aq,custoAq*(1+CDI_M)^A86,PartInt*(1+CAGR_M)^A86),IF(A86&lt;Vest_Total,B86*PartInt*(1+CAGR_M)^A86,IF(A86&lt;Vest_Total+Lockup_Vest,(PartInt*(1+CAGR_M)^Vest_Total)*(1+CDI_M)^(A86-Vest_Total),PartInt*(1+CAGR_M)^A86)))</f>
        <v/>
      </c>
      <c r="D86" s="59">
        <f>IF(Modalidade="Aquisicao direta",PartExt*(1+CAGR_M)^A86,B86*PartExt*(1+CAGR_M)^A86)</f>
        <v/>
      </c>
      <c r="E86" s="59">
        <f>baseCDI*(1+CDI_M)^A86</f>
        <v/>
      </c>
    </row>
    <row r="87">
      <c r="A87" t="n">
        <v>72</v>
      </c>
      <c r="B87" s="60">
        <f>IF(Vest_Tipo="Unico ao final",IF(A87&gt;=Vest_Total,1,0),IF(A87&lt;Cliff,0,IF(A87&gt;=Vest_Total,1,IF(AND(Cliff&gt;0,Vest_Total&gt;Cliff),(Cliff_Pct/100)+(1-(Cliff_Pct/100))*((A87-Cliff)/(Vest_Total-Cliff)),(Cliff_Pct/100)))))</f>
        <v/>
      </c>
      <c r="C87" s="59">
        <f>IF(Modalidade="Aquisicao direta",IF(A87&lt;Lockup_Aq,custoAq*(1+CDI_M)^A87,PartInt*(1+CAGR_M)^A87),IF(A87&lt;Vest_Total,B87*PartInt*(1+CAGR_M)^A87,IF(A87&lt;Vest_Total+Lockup_Vest,(PartInt*(1+CAGR_M)^Vest_Total)*(1+CDI_M)^(A87-Vest_Total),PartInt*(1+CAGR_M)^A87)))</f>
        <v/>
      </c>
      <c r="D87" s="59">
        <f>IF(Modalidade="Aquisicao direta",PartExt*(1+CAGR_M)^A87,B87*PartExt*(1+CAGR_M)^A87)</f>
        <v/>
      </c>
      <c r="E87" s="59">
        <f>baseCDI*(1+CDI_M)^A87</f>
        <v/>
      </c>
    </row>
    <row r="88">
      <c r="A88" t="n">
        <v>73</v>
      </c>
      <c r="B88" s="60">
        <f>IF(Vest_Tipo="Unico ao final",IF(A88&gt;=Vest_Total,1,0),IF(A88&lt;Cliff,0,IF(A88&gt;=Vest_Total,1,IF(AND(Cliff&gt;0,Vest_Total&gt;Cliff),(Cliff_Pct/100)+(1-(Cliff_Pct/100))*((A88-Cliff)/(Vest_Total-Cliff)),(Cliff_Pct/100)))))</f>
        <v/>
      </c>
      <c r="C88" s="59">
        <f>IF(Modalidade="Aquisicao direta",IF(A88&lt;Lockup_Aq,custoAq*(1+CDI_M)^A88,PartInt*(1+CAGR_M)^A88),IF(A88&lt;Vest_Total,B88*PartInt*(1+CAGR_M)^A88,IF(A88&lt;Vest_Total+Lockup_Vest,(PartInt*(1+CAGR_M)^Vest_Total)*(1+CDI_M)^(A88-Vest_Total),PartInt*(1+CAGR_M)^A88)))</f>
        <v/>
      </c>
      <c r="D88" s="59">
        <f>IF(Modalidade="Aquisicao direta",PartExt*(1+CAGR_M)^A88,B88*PartExt*(1+CAGR_M)^A88)</f>
        <v/>
      </c>
      <c r="E88" s="59">
        <f>baseCDI*(1+CDI_M)^A88</f>
        <v/>
      </c>
    </row>
    <row r="89">
      <c r="A89" t="n">
        <v>74</v>
      </c>
      <c r="B89" s="60">
        <f>IF(Vest_Tipo="Unico ao final",IF(A89&gt;=Vest_Total,1,0),IF(A89&lt;Cliff,0,IF(A89&gt;=Vest_Total,1,IF(AND(Cliff&gt;0,Vest_Total&gt;Cliff),(Cliff_Pct/100)+(1-(Cliff_Pct/100))*((A89-Cliff)/(Vest_Total-Cliff)),(Cliff_Pct/100)))))</f>
        <v/>
      </c>
      <c r="C89" s="59">
        <f>IF(Modalidade="Aquisicao direta",IF(A89&lt;Lockup_Aq,custoAq*(1+CDI_M)^A89,PartInt*(1+CAGR_M)^A89),IF(A89&lt;Vest_Total,B89*PartInt*(1+CAGR_M)^A89,IF(A89&lt;Vest_Total+Lockup_Vest,(PartInt*(1+CAGR_M)^Vest_Total)*(1+CDI_M)^(A89-Vest_Total),PartInt*(1+CAGR_M)^A89)))</f>
        <v/>
      </c>
      <c r="D89" s="59">
        <f>IF(Modalidade="Aquisicao direta",PartExt*(1+CAGR_M)^A89,B89*PartExt*(1+CAGR_M)^A89)</f>
        <v/>
      </c>
      <c r="E89" s="59">
        <f>baseCDI*(1+CDI_M)^A89</f>
        <v/>
      </c>
    </row>
    <row r="90">
      <c r="A90" t="n">
        <v>75</v>
      </c>
      <c r="B90" s="60">
        <f>IF(Vest_Tipo="Unico ao final",IF(A90&gt;=Vest_Total,1,0),IF(A90&lt;Cliff,0,IF(A90&gt;=Vest_Total,1,IF(AND(Cliff&gt;0,Vest_Total&gt;Cliff),(Cliff_Pct/100)+(1-(Cliff_Pct/100))*((A90-Cliff)/(Vest_Total-Cliff)),(Cliff_Pct/100)))))</f>
        <v/>
      </c>
      <c r="C90" s="59">
        <f>IF(Modalidade="Aquisicao direta",IF(A90&lt;Lockup_Aq,custoAq*(1+CDI_M)^A90,PartInt*(1+CAGR_M)^A90),IF(A90&lt;Vest_Total,B90*PartInt*(1+CAGR_M)^A90,IF(A90&lt;Vest_Total+Lockup_Vest,(PartInt*(1+CAGR_M)^Vest_Total)*(1+CDI_M)^(A90-Vest_Total),PartInt*(1+CAGR_M)^A90)))</f>
        <v/>
      </c>
      <c r="D90" s="59">
        <f>IF(Modalidade="Aquisicao direta",PartExt*(1+CAGR_M)^A90,B90*PartExt*(1+CAGR_M)^A90)</f>
        <v/>
      </c>
      <c r="E90" s="59">
        <f>baseCDI*(1+CDI_M)^A90</f>
        <v/>
      </c>
    </row>
    <row r="91">
      <c r="A91" t="n">
        <v>76</v>
      </c>
      <c r="B91" s="60">
        <f>IF(Vest_Tipo="Unico ao final",IF(A91&gt;=Vest_Total,1,0),IF(A91&lt;Cliff,0,IF(A91&gt;=Vest_Total,1,IF(AND(Cliff&gt;0,Vest_Total&gt;Cliff),(Cliff_Pct/100)+(1-(Cliff_Pct/100))*((A91-Cliff)/(Vest_Total-Cliff)),(Cliff_Pct/100)))))</f>
        <v/>
      </c>
      <c r="C91" s="59">
        <f>IF(Modalidade="Aquisicao direta",IF(A91&lt;Lockup_Aq,custoAq*(1+CDI_M)^A91,PartInt*(1+CAGR_M)^A91),IF(A91&lt;Vest_Total,B91*PartInt*(1+CAGR_M)^A91,IF(A91&lt;Vest_Total+Lockup_Vest,(PartInt*(1+CAGR_M)^Vest_Total)*(1+CDI_M)^(A91-Vest_Total),PartInt*(1+CAGR_M)^A91)))</f>
        <v/>
      </c>
      <c r="D91" s="59">
        <f>IF(Modalidade="Aquisicao direta",PartExt*(1+CAGR_M)^A91,B91*PartExt*(1+CAGR_M)^A91)</f>
        <v/>
      </c>
      <c r="E91" s="59">
        <f>baseCDI*(1+CDI_M)^A91</f>
        <v/>
      </c>
    </row>
    <row r="92">
      <c r="A92" t="n">
        <v>77</v>
      </c>
      <c r="B92" s="60">
        <f>IF(Vest_Tipo="Unico ao final",IF(A92&gt;=Vest_Total,1,0),IF(A92&lt;Cliff,0,IF(A92&gt;=Vest_Total,1,IF(AND(Cliff&gt;0,Vest_Total&gt;Cliff),(Cliff_Pct/100)+(1-(Cliff_Pct/100))*((A92-Cliff)/(Vest_Total-Cliff)),(Cliff_Pct/100)))))</f>
        <v/>
      </c>
      <c r="C92" s="59">
        <f>IF(Modalidade="Aquisicao direta",IF(A92&lt;Lockup_Aq,custoAq*(1+CDI_M)^A92,PartInt*(1+CAGR_M)^A92),IF(A92&lt;Vest_Total,B92*PartInt*(1+CAGR_M)^A92,IF(A92&lt;Vest_Total+Lockup_Vest,(PartInt*(1+CAGR_M)^Vest_Total)*(1+CDI_M)^(A92-Vest_Total),PartInt*(1+CAGR_M)^A92)))</f>
        <v/>
      </c>
      <c r="D92" s="59">
        <f>IF(Modalidade="Aquisicao direta",PartExt*(1+CAGR_M)^A92,B92*PartExt*(1+CAGR_M)^A92)</f>
        <v/>
      </c>
      <c r="E92" s="59">
        <f>baseCDI*(1+CDI_M)^A92</f>
        <v/>
      </c>
    </row>
    <row r="93">
      <c r="A93" t="n">
        <v>78</v>
      </c>
      <c r="B93" s="60">
        <f>IF(Vest_Tipo="Unico ao final",IF(A93&gt;=Vest_Total,1,0),IF(A93&lt;Cliff,0,IF(A93&gt;=Vest_Total,1,IF(AND(Cliff&gt;0,Vest_Total&gt;Cliff),(Cliff_Pct/100)+(1-(Cliff_Pct/100))*((A93-Cliff)/(Vest_Total-Cliff)),(Cliff_Pct/100)))))</f>
        <v/>
      </c>
      <c r="C93" s="59">
        <f>IF(Modalidade="Aquisicao direta",IF(A93&lt;Lockup_Aq,custoAq*(1+CDI_M)^A93,PartInt*(1+CAGR_M)^A93),IF(A93&lt;Vest_Total,B93*PartInt*(1+CAGR_M)^A93,IF(A93&lt;Vest_Total+Lockup_Vest,(PartInt*(1+CAGR_M)^Vest_Total)*(1+CDI_M)^(A93-Vest_Total),PartInt*(1+CAGR_M)^A93)))</f>
        <v/>
      </c>
      <c r="D93" s="59">
        <f>IF(Modalidade="Aquisicao direta",PartExt*(1+CAGR_M)^A93,B93*PartExt*(1+CAGR_M)^A93)</f>
        <v/>
      </c>
      <c r="E93" s="59">
        <f>baseCDI*(1+CDI_M)^A93</f>
        <v/>
      </c>
    </row>
    <row r="94">
      <c r="A94" t="n">
        <v>79</v>
      </c>
      <c r="B94" s="60">
        <f>IF(Vest_Tipo="Unico ao final",IF(A94&gt;=Vest_Total,1,0),IF(A94&lt;Cliff,0,IF(A94&gt;=Vest_Total,1,IF(AND(Cliff&gt;0,Vest_Total&gt;Cliff),(Cliff_Pct/100)+(1-(Cliff_Pct/100))*((A94-Cliff)/(Vest_Total-Cliff)),(Cliff_Pct/100)))))</f>
        <v/>
      </c>
      <c r="C94" s="59">
        <f>IF(Modalidade="Aquisicao direta",IF(A94&lt;Lockup_Aq,custoAq*(1+CDI_M)^A94,PartInt*(1+CAGR_M)^A94),IF(A94&lt;Vest_Total,B94*PartInt*(1+CAGR_M)^A94,IF(A94&lt;Vest_Total+Lockup_Vest,(PartInt*(1+CAGR_M)^Vest_Total)*(1+CDI_M)^(A94-Vest_Total),PartInt*(1+CAGR_M)^A94)))</f>
        <v/>
      </c>
      <c r="D94" s="59">
        <f>IF(Modalidade="Aquisicao direta",PartExt*(1+CAGR_M)^A94,B94*PartExt*(1+CAGR_M)^A94)</f>
        <v/>
      </c>
      <c r="E94" s="59">
        <f>baseCDI*(1+CDI_M)^A94</f>
        <v/>
      </c>
    </row>
    <row r="95">
      <c r="A95" t="n">
        <v>80</v>
      </c>
      <c r="B95" s="60">
        <f>IF(Vest_Tipo="Unico ao final",IF(A95&gt;=Vest_Total,1,0),IF(A95&lt;Cliff,0,IF(A95&gt;=Vest_Total,1,IF(AND(Cliff&gt;0,Vest_Total&gt;Cliff),(Cliff_Pct/100)+(1-(Cliff_Pct/100))*((A95-Cliff)/(Vest_Total-Cliff)),(Cliff_Pct/100)))))</f>
        <v/>
      </c>
      <c r="C95" s="59">
        <f>IF(Modalidade="Aquisicao direta",IF(A95&lt;Lockup_Aq,custoAq*(1+CDI_M)^A95,PartInt*(1+CAGR_M)^A95),IF(A95&lt;Vest_Total,B95*PartInt*(1+CAGR_M)^A95,IF(A95&lt;Vest_Total+Lockup_Vest,(PartInt*(1+CAGR_M)^Vest_Total)*(1+CDI_M)^(A95-Vest_Total),PartInt*(1+CAGR_M)^A95)))</f>
        <v/>
      </c>
      <c r="D95" s="59">
        <f>IF(Modalidade="Aquisicao direta",PartExt*(1+CAGR_M)^A95,B95*PartExt*(1+CAGR_M)^A95)</f>
        <v/>
      </c>
      <c r="E95" s="59">
        <f>baseCDI*(1+CDI_M)^A95</f>
        <v/>
      </c>
    </row>
    <row r="96">
      <c r="A96" t="n">
        <v>81</v>
      </c>
      <c r="B96" s="60">
        <f>IF(Vest_Tipo="Unico ao final",IF(A96&gt;=Vest_Total,1,0),IF(A96&lt;Cliff,0,IF(A96&gt;=Vest_Total,1,IF(AND(Cliff&gt;0,Vest_Total&gt;Cliff),(Cliff_Pct/100)+(1-(Cliff_Pct/100))*((A96-Cliff)/(Vest_Total-Cliff)),(Cliff_Pct/100)))))</f>
        <v/>
      </c>
      <c r="C96" s="59">
        <f>IF(Modalidade="Aquisicao direta",IF(A96&lt;Lockup_Aq,custoAq*(1+CDI_M)^A96,PartInt*(1+CAGR_M)^A96),IF(A96&lt;Vest_Total,B96*PartInt*(1+CAGR_M)^A96,IF(A96&lt;Vest_Total+Lockup_Vest,(PartInt*(1+CAGR_M)^Vest_Total)*(1+CDI_M)^(A96-Vest_Total),PartInt*(1+CAGR_M)^A96)))</f>
        <v/>
      </c>
      <c r="D96" s="59">
        <f>IF(Modalidade="Aquisicao direta",PartExt*(1+CAGR_M)^A96,B96*PartExt*(1+CAGR_M)^A96)</f>
        <v/>
      </c>
      <c r="E96" s="59">
        <f>baseCDI*(1+CDI_M)^A96</f>
        <v/>
      </c>
    </row>
    <row r="97">
      <c r="A97" t="n">
        <v>82</v>
      </c>
      <c r="B97" s="60">
        <f>IF(Vest_Tipo="Unico ao final",IF(A97&gt;=Vest_Total,1,0),IF(A97&lt;Cliff,0,IF(A97&gt;=Vest_Total,1,IF(AND(Cliff&gt;0,Vest_Total&gt;Cliff),(Cliff_Pct/100)+(1-(Cliff_Pct/100))*((A97-Cliff)/(Vest_Total-Cliff)),(Cliff_Pct/100)))))</f>
        <v/>
      </c>
      <c r="C97" s="59">
        <f>IF(Modalidade="Aquisicao direta",IF(A97&lt;Lockup_Aq,custoAq*(1+CDI_M)^A97,PartInt*(1+CAGR_M)^A97),IF(A97&lt;Vest_Total,B97*PartInt*(1+CAGR_M)^A97,IF(A97&lt;Vest_Total+Lockup_Vest,(PartInt*(1+CAGR_M)^Vest_Total)*(1+CDI_M)^(A97-Vest_Total),PartInt*(1+CAGR_M)^A97)))</f>
        <v/>
      </c>
      <c r="D97" s="59">
        <f>IF(Modalidade="Aquisicao direta",PartExt*(1+CAGR_M)^A97,B97*PartExt*(1+CAGR_M)^A97)</f>
        <v/>
      </c>
      <c r="E97" s="59">
        <f>baseCDI*(1+CDI_M)^A97</f>
        <v/>
      </c>
    </row>
    <row r="98">
      <c r="A98" t="n">
        <v>83</v>
      </c>
      <c r="B98" s="60">
        <f>IF(Vest_Tipo="Unico ao final",IF(A98&gt;=Vest_Total,1,0),IF(A98&lt;Cliff,0,IF(A98&gt;=Vest_Total,1,IF(AND(Cliff&gt;0,Vest_Total&gt;Cliff),(Cliff_Pct/100)+(1-(Cliff_Pct/100))*((A98-Cliff)/(Vest_Total-Cliff)),(Cliff_Pct/100)))))</f>
        <v/>
      </c>
      <c r="C98" s="59">
        <f>IF(Modalidade="Aquisicao direta",IF(A98&lt;Lockup_Aq,custoAq*(1+CDI_M)^A98,PartInt*(1+CAGR_M)^A98),IF(A98&lt;Vest_Total,B98*PartInt*(1+CAGR_M)^A98,IF(A98&lt;Vest_Total+Lockup_Vest,(PartInt*(1+CAGR_M)^Vest_Total)*(1+CDI_M)^(A98-Vest_Total),PartInt*(1+CAGR_M)^A98)))</f>
        <v/>
      </c>
      <c r="D98" s="59">
        <f>IF(Modalidade="Aquisicao direta",PartExt*(1+CAGR_M)^A98,B98*PartExt*(1+CAGR_M)^A98)</f>
        <v/>
      </c>
      <c r="E98" s="59">
        <f>baseCDI*(1+CDI_M)^A98</f>
        <v/>
      </c>
    </row>
    <row r="99">
      <c r="A99" t="n">
        <v>84</v>
      </c>
      <c r="B99" s="60">
        <f>IF(Vest_Tipo="Unico ao final",IF(A99&gt;=Vest_Total,1,0),IF(A99&lt;Cliff,0,IF(A99&gt;=Vest_Total,1,IF(AND(Cliff&gt;0,Vest_Total&gt;Cliff),(Cliff_Pct/100)+(1-(Cliff_Pct/100))*((A99-Cliff)/(Vest_Total-Cliff)),(Cliff_Pct/100)))))</f>
        <v/>
      </c>
      <c r="C99" s="59">
        <f>IF(Modalidade="Aquisicao direta",IF(A99&lt;Lockup_Aq,custoAq*(1+CDI_M)^A99,PartInt*(1+CAGR_M)^A99),IF(A99&lt;Vest_Total,B99*PartInt*(1+CAGR_M)^A99,IF(A99&lt;Vest_Total+Lockup_Vest,(PartInt*(1+CAGR_M)^Vest_Total)*(1+CDI_M)^(A99-Vest_Total),PartInt*(1+CAGR_M)^A99)))</f>
        <v/>
      </c>
      <c r="D99" s="59">
        <f>IF(Modalidade="Aquisicao direta",PartExt*(1+CAGR_M)^A99,B99*PartExt*(1+CAGR_M)^A99)</f>
        <v/>
      </c>
      <c r="E99" s="59">
        <f>baseCDI*(1+CDI_M)^A99</f>
        <v/>
      </c>
    </row>
    <row r="100">
      <c r="A100" t="n">
        <v>85</v>
      </c>
      <c r="B100" s="60">
        <f>IF(Vest_Tipo="Unico ao final",IF(A100&gt;=Vest_Total,1,0),IF(A100&lt;Cliff,0,IF(A100&gt;=Vest_Total,1,IF(AND(Cliff&gt;0,Vest_Total&gt;Cliff),(Cliff_Pct/100)+(1-(Cliff_Pct/100))*((A100-Cliff)/(Vest_Total-Cliff)),(Cliff_Pct/100)))))</f>
        <v/>
      </c>
      <c r="C100" s="59">
        <f>IF(Modalidade="Aquisicao direta",IF(A100&lt;Lockup_Aq,custoAq*(1+CDI_M)^A100,PartInt*(1+CAGR_M)^A100),IF(A100&lt;Vest_Total,B100*PartInt*(1+CAGR_M)^A100,IF(A100&lt;Vest_Total+Lockup_Vest,(PartInt*(1+CAGR_M)^Vest_Total)*(1+CDI_M)^(A100-Vest_Total),PartInt*(1+CAGR_M)^A100)))</f>
        <v/>
      </c>
      <c r="D100" s="59">
        <f>IF(Modalidade="Aquisicao direta",PartExt*(1+CAGR_M)^A100,B100*PartExt*(1+CAGR_M)^A100)</f>
        <v/>
      </c>
      <c r="E100" s="59">
        <f>baseCDI*(1+CDI_M)^A100</f>
        <v/>
      </c>
    </row>
    <row r="101">
      <c r="A101" t="n">
        <v>86</v>
      </c>
      <c r="B101" s="60">
        <f>IF(Vest_Tipo="Unico ao final",IF(A101&gt;=Vest_Total,1,0),IF(A101&lt;Cliff,0,IF(A101&gt;=Vest_Total,1,IF(AND(Cliff&gt;0,Vest_Total&gt;Cliff),(Cliff_Pct/100)+(1-(Cliff_Pct/100))*((A101-Cliff)/(Vest_Total-Cliff)),(Cliff_Pct/100)))))</f>
        <v/>
      </c>
      <c r="C101" s="59">
        <f>IF(Modalidade="Aquisicao direta",IF(A101&lt;Lockup_Aq,custoAq*(1+CDI_M)^A101,PartInt*(1+CAGR_M)^A101),IF(A101&lt;Vest_Total,B101*PartInt*(1+CAGR_M)^A101,IF(A101&lt;Vest_Total+Lockup_Vest,(PartInt*(1+CAGR_M)^Vest_Total)*(1+CDI_M)^(A101-Vest_Total),PartInt*(1+CAGR_M)^A101)))</f>
        <v/>
      </c>
      <c r="D101" s="59">
        <f>IF(Modalidade="Aquisicao direta",PartExt*(1+CAGR_M)^A101,B101*PartExt*(1+CAGR_M)^A101)</f>
        <v/>
      </c>
      <c r="E101" s="59">
        <f>baseCDI*(1+CDI_M)^A101</f>
        <v/>
      </c>
    </row>
    <row r="102">
      <c r="A102" t="n">
        <v>87</v>
      </c>
      <c r="B102" s="60">
        <f>IF(Vest_Tipo="Unico ao final",IF(A102&gt;=Vest_Total,1,0),IF(A102&lt;Cliff,0,IF(A102&gt;=Vest_Total,1,IF(AND(Cliff&gt;0,Vest_Total&gt;Cliff),(Cliff_Pct/100)+(1-(Cliff_Pct/100))*((A102-Cliff)/(Vest_Total-Cliff)),(Cliff_Pct/100)))))</f>
        <v/>
      </c>
      <c r="C102" s="59">
        <f>IF(Modalidade="Aquisicao direta",IF(A102&lt;Lockup_Aq,custoAq*(1+CDI_M)^A102,PartInt*(1+CAGR_M)^A102),IF(A102&lt;Vest_Total,B102*PartInt*(1+CAGR_M)^A102,IF(A102&lt;Vest_Total+Lockup_Vest,(PartInt*(1+CAGR_M)^Vest_Total)*(1+CDI_M)^(A102-Vest_Total),PartInt*(1+CAGR_M)^A102)))</f>
        <v/>
      </c>
      <c r="D102" s="59">
        <f>IF(Modalidade="Aquisicao direta",PartExt*(1+CAGR_M)^A102,B102*PartExt*(1+CAGR_M)^A102)</f>
        <v/>
      </c>
      <c r="E102" s="59">
        <f>baseCDI*(1+CDI_M)^A102</f>
        <v/>
      </c>
    </row>
    <row r="103">
      <c r="A103" t="n">
        <v>88</v>
      </c>
      <c r="B103" s="60">
        <f>IF(Vest_Tipo="Unico ao final",IF(A103&gt;=Vest_Total,1,0),IF(A103&lt;Cliff,0,IF(A103&gt;=Vest_Total,1,IF(AND(Cliff&gt;0,Vest_Total&gt;Cliff),(Cliff_Pct/100)+(1-(Cliff_Pct/100))*((A103-Cliff)/(Vest_Total-Cliff)),(Cliff_Pct/100)))))</f>
        <v/>
      </c>
      <c r="C103" s="59">
        <f>IF(Modalidade="Aquisicao direta",IF(A103&lt;Lockup_Aq,custoAq*(1+CDI_M)^A103,PartInt*(1+CAGR_M)^A103),IF(A103&lt;Vest_Total,B103*PartInt*(1+CAGR_M)^A103,IF(A103&lt;Vest_Total+Lockup_Vest,(PartInt*(1+CAGR_M)^Vest_Total)*(1+CDI_M)^(A103-Vest_Total),PartInt*(1+CAGR_M)^A103)))</f>
        <v/>
      </c>
      <c r="D103" s="59">
        <f>IF(Modalidade="Aquisicao direta",PartExt*(1+CAGR_M)^A103,B103*PartExt*(1+CAGR_M)^A103)</f>
        <v/>
      </c>
      <c r="E103" s="59">
        <f>baseCDI*(1+CDI_M)^A103</f>
        <v/>
      </c>
    </row>
    <row r="104">
      <c r="A104" t="n">
        <v>89</v>
      </c>
      <c r="B104" s="60">
        <f>IF(Vest_Tipo="Unico ao final",IF(A104&gt;=Vest_Total,1,0),IF(A104&lt;Cliff,0,IF(A104&gt;=Vest_Total,1,IF(AND(Cliff&gt;0,Vest_Total&gt;Cliff),(Cliff_Pct/100)+(1-(Cliff_Pct/100))*((A104-Cliff)/(Vest_Total-Cliff)),(Cliff_Pct/100)))))</f>
        <v/>
      </c>
      <c r="C104" s="59">
        <f>IF(Modalidade="Aquisicao direta",IF(A104&lt;Lockup_Aq,custoAq*(1+CDI_M)^A104,PartInt*(1+CAGR_M)^A104),IF(A104&lt;Vest_Total,B104*PartInt*(1+CAGR_M)^A104,IF(A104&lt;Vest_Total+Lockup_Vest,(PartInt*(1+CAGR_M)^Vest_Total)*(1+CDI_M)^(A104-Vest_Total),PartInt*(1+CAGR_M)^A104)))</f>
        <v/>
      </c>
      <c r="D104" s="59">
        <f>IF(Modalidade="Aquisicao direta",PartExt*(1+CAGR_M)^A104,B104*PartExt*(1+CAGR_M)^A104)</f>
        <v/>
      </c>
      <c r="E104" s="59">
        <f>baseCDI*(1+CDI_M)^A104</f>
        <v/>
      </c>
    </row>
    <row r="105">
      <c r="A105" t="n">
        <v>90</v>
      </c>
      <c r="B105" s="60">
        <f>IF(Vest_Tipo="Unico ao final",IF(A105&gt;=Vest_Total,1,0),IF(A105&lt;Cliff,0,IF(A105&gt;=Vest_Total,1,IF(AND(Cliff&gt;0,Vest_Total&gt;Cliff),(Cliff_Pct/100)+(1-(Cliff_Pct/100))*((A105-Cliff)/(Vest_Total-Cliff)),(Cliff_Pct/100)))))</f>
        <v/>
      </c>
      <c r="C105" s="59">
        <f>IF(Modalidade="Aquisicao direta",IF(A105&lt;Lockup_Aq,custoAq*(1+CDI_M)^A105,PartInt*(1+CAGR_M)^A105),IF(A105&lt;Vest_Total,B105*PartInt*(1+CAGR_M)^A105,IF(A105&lt;Vest_Total+Lockup_Vest,(PartInt*(1+CAGR_M)^Vest_Total)*(1+CDI_M)^(A105-Vest_Total),PartInt*(1+CAGR_M)^A105)))</f>
        <v/>
      </c>
      <c r="D105" s="59">
        <f>IF(Modalidade="Aquisicao direta",PartExt*(1+CAGR_M)^A105,B105*PartExt*(1+CAGR_M)^A105)</f>
        <v/>
      </c>
      <c r="E105" s="59">
        <f>baseCDI*(1+CDI_M)^A105</f>
        <v/>
      </c>
    </row>
    <row r="106">
      <c r="A106" t="n">
        <v>91</v>
      </c>
      <c r="B106" s="60">
        <f>IF(Vest_Tipo="Unico ao final",IF(A106&gt;=Vest_Total,1,0),IF(A106&lt;Cliff,0,IF(A106&gt;=Vest_Total,1,IF(AND(Cliff&gt;0,Vest_Total&gt;Cliff),(Cliff_Pct/100)+(1-(Cliff_Pct/100))*((A106-Cliff)/(Vest_Total-Cliff)),(Cliff_Pct/100)))))</f>
        <v/>
      </c>
      <c r="C106" s="59">
        <f>IF(Modalidade="Aquisicao direta",IF(A106&lt;Lockup_Aq,custoAq*(1+CDI_M)^A106,PartInt*(1+CAGR_M)^A106),IF(A106&lt;Vest_Total,B106*PartInt*(1+CAGR_M)^A106,IF(A106&lt;Vest_Total+Lockup_Vest,(PartInt*(1+CAGR_M)^Vest_Total)*(1+CDI_M)^(A106-Vest_Total),PartInt*(1+CAGR_M)^A106)))</f>
        <v/>
      </c>
      <c r="D106" s="59">
        <f>IF(Modalidade="Aquisicao direta",PartExt*(1+CAGR_M)^A106,B106*PartExt*(1+CAGR_M)^A106)</f>
        <v/>
      </c>
      <c r="E106" s="59">
        <f>baseCDI*(1+CDI_M)^A106</f>
        <v/>
      </c>
    </row>
    <row r="107">
      <c r="A107" t="n">
        <v>92</v>
      </c>
      <c r="B107" s="60">
        <f>IF(Vest_Tipo="Unico ao final",IF(A107&gt;=Vest_Total,1,0),IF(A107&lt;Cliff,0,IF(A107&gt;=Vest_Total,1,IF(AND(Cliff&gt;0,Vest_Total&gt;Cliff),(Cliff_Pct/100)+(1-(Cliff_Pct/100))*((A107-Cliff)/(Vest_Total-Cliff)),(Cliff_Pct/100)))))</f>
        <v/>
      </c>
      <c r="C107" s="59">
        <f>IF(Modalidade="Aquisicao direta",IF(A107&lt;Lockup_Aq,custoAq*(1+CDI_M)^A107,PartInt*(1+CAGR_M)^A107),IF(A107&lt;Vest_Total,B107*PartInt*(1+CAGR_M)^A107,IF(A107&lt;Vest_Total+Lockup_Vest,(PartInt*(1+CAGR_M)^Vest_Total)*(1+CDI_M)^(A107-Vest_Total),PartInt*(1+CAGR_M)^A107)))</f>
        <v/>
      </c>
      <c r="D107" s="59">
        <f>IF(Modalidade="Aquisicao direta",PartExt*(1+CAGR_M)^A107,B107*PartExt*(1+CAGR_M)^A107)</f>
        <v/>
      </c>
      <c r="E107" s="59">
        <f>baseCDI*(1+CDI_M)^A107</f>
        <v/>
      </c>
    </row>
    <row r="108">
      <c r="A108" t="n">
        <v>93</v>
      </c>
      <c r="B108" s="60">
        <f>IF(Vest_Tipo="Unico ao final",IF(A108&gt;=Vest_Total,1,0),IF(A108&lt;Cliff,0,IF(A108&gt;=Vest_Total,1,IF(AND(Cliff&gt;0,Vest_Total&gt;Cliff),(Cliff_Pct/100)+(1-(Cliff_Pct/100))*((A108-Cliff)/(Vest_Total-Cliff)),(Cliff_Pct/100)))))</f>
        <v/>
      </c>
      <c r="C108" s="59">
        <f>IF(Modalidade="Aquisicao direta",IF(A108&lt;Lockup_Aq,custoAq*(1+CDI_M)^A108,PartInt*(1+CAGR_M)^A108),IF(A108&lt;Vest_Total,B108*PartInt*(1+CAGR_M)^A108,IF(A108&lt;Vest_Total+Lockup_Vest,(PartInt*(1+CAGR_M)^Vest_Total)*(1+CDI_M)^(A108-Vest_Total),PartInt*(1+CAGR_M)^A108)))</f>
        <v/>
      </c>
      <c r="D108" s="59">
        <f>IF(Modalidade="Aquisicao direta",PartExt*(1+CAGR_M)^A108,B108*PartExt*(1+CAGR_M)^A108)</f>
        <v/>
      </c>
      <c r="E108" s="59">
        <f>baseCDI*(1+CDI_M)^A108</f>
        <v/>
      </c>
    </row>
    <row r="109">
      <c r="A109" t="n">
        <v>94</v>
      </c>
      <c r="B109" s="60">
        <f>IF(Vest_Tipo="Unico ao final",IF(A109&gt;=Vest_Total,1,0),IF(A109&lt;Cliff,0,IF(A109&gt;=Vest_Total,1,IF(AND(Cliff&gt;0,Vest_Total&gt;Cliff),(Cliff_Pct/100)+(1-(Cliff_Pct/100))*((A109-Cliff)/(Vest_Total-Cliff)),(Cliff_Pct/100)))))</f>
        <v/>
      </c>
      <c r="C109" s="59">
        <f>IF(Modalidade="Aquisicao direta",IF(A109&lt;Lockup_Aq,custoAq*(1+CDI_M)^A109,PartInt*(1+CAGR_M)^A109),IF(A109&lt;Vest_Total,B109*PartInt*(1+CAGR_M)^A109,IF(A109&lt;Vest_Total+Lockup_Vest,(PartInt*(1+CAGR_M)^Vest_Total)*(1+CDI_M)^(A109-Vest_Total),PartInt*(1+CAGR_M)^A109)))</f>
        <v/>
      </c>
      <c r="D109" s="59">
        <f>IF(Modalidade="Aquisicao direta",PartExt*(1+CAGR_M)^A109,B109*PartExt*(1+CAGR_M)^A109)</f>
        <v/>
      </c>
      <c r="E109" s="59">
        <f>baseCDI*(1+CDI_M)^A109</f>
        <v/>
      </c>
    </row>
    <row r="110">
      <c r="A110" t="n">
        <v>95</v>
      </c>
      <c r="B110" s="60">
        <f>IF(Vest_Tipo="Unico ao final",IF(A110&gt;=Vest_Total,1,0),IF(A110&lt;Cliff,0,IF(A110&gt;=Vest_Total,1,IF(AND(Cliff&gt;0,Vest_Total&gt;Cliff),(Cliff_Pct/100)+(1-(Cliff_Pct/100))*((A110-Cliff)/(Vest_Total-Cliff)),(Cliff_Pct/100)))))</f>
        <v/>
      </c>
      <c r="C110" s="59">
        <f>IF(Modalidade="Aquisicao direta",IF(A110&lt;Lockup_Aq,custoAq*(1+CDI_M)^A110,PartInt*(1+CAGR_M)^A110),IF(A110&lt;Vest_Total,B110*PartInt*(1+CAGR_M)^A110,IF(A110&lt;Vest_Total+Lockup_Vest,(PartInt*(1+CAGR_M)^Vest_Total)*(1+CDI_M)^(A110-Vest_Total),PartInt*(1+CAGR_M)^A110)))</f>
        <v/>
      </c>
      <c r="D110" s="59">
        <f>IF(Modalidade="Aquisicao direta",PartExt*(1+CAGR_M)^A110,B110*PartExt*(1+CAGR_M)^A110)</f>
        <v/>
      </c>
      <c r="E110" s="59">
        <f>baseCDI*(1+CDI_M)^A110</f>
        <v/>
      </c>
    </row>
    <row r="111">
      <c r="A111" t="n">
        <v>96</v>
      </c>
      <c r="B111" s="60">
        <f>IF(Vest_Tipo="Unico ao final",IF(A111&gt;=Vest_Total,1,0),IF(A111&lt;Cliff,0,IF(A111&gt;=Vest_Total,1,IF(AND(Cliff&gt;0,Vest_Total&gt;Cliff),(Cliff_Pct/100)+(1-(Cliff_Pct/100))*((A111-Cliff)/(Vest_Total-Cliff)),(Cliff_Pct/100)))))</f>
        <v/>
      </c>
      <c r="C111" s="59">
        <f>IF(Modalidade="Aquisicao direta",IF(A111&lt;Lockup_Aq,custoAq*(1+CDI_M)^A111,PartInt*(1+CAGR_M)^A111),IF(A111&lt;Vest_Total,B111*PartInt*(1+CAGR_M)^A111,IF(A111&lt;Vest_Total+Lockup_Vest,(PartInt*(1+CAGR_M)^Vest_Total)*(1+CDI_M)^(A111-Vest_Total),PartInt*(1+CAGR_M)^A111)))</f>
        <v/>
      </c>
      <c r="D111" s="59">
        <f>IF(Modalidade="Aquisicao direta",PartExt*(1+CAGR_M)^A111,B111*PartExt*(1+CAGR_M)^A111)</f>
        <v/>
      </c>
      <c r="E111" s="59">
        <f>baseCDI*(1+CDI_M)^A111</f>
        <v/>
      </c>
    </row>
    <row r="112">
      <c r="A112" t="n">
        <v>97</v>
      </c>
      <c r="B112" s="60">
        <f>IF(Vest_Tipo="Unico ao final",IF(A112&gt;=Vest_Total,1,0),IF(A112&lt;Cliff,0,IF(A112&gt;=Vest_Total,1,IF(AND(Cliff&gt;0,Vest_Total&gt;Cliff),(Cliff_Pct/100)+(1-(Cliff_Pct/100))*((A112-Cliff)/(Vest_Total-Cliff)),(Cliff_Pct/100)))))</f>
        <v/>
      </c>
      <c r="C112" s="59">
        <f>IF(Modalidade="Aquisicao direta",IF(A112&lt;Lockup_Aq,custoAq*(1+CDI_M)^A112,PartInt*(1+CAGR_M)^A112),IF(A112&lt;Vest_Total,B112*PartInt*(1+CAGR_M)^A112,IF(A112&lt;Vest_Total+Lockup_Vest,(PartInt*(1+CAGR_M)^Vest_Total)*(1+CDI_M)^(A112-Vest_Total),PartInt*(1+CAGR_M)^A112)))</f>
        <v/>
      </c>
      <c r="D112" s="59">
        <f>IF(Modalidade="Aquisicao direta",PartExt*(1+CAGR_M)^A112,B112*PartExt*(1+CAGR_M)^A112)</f>
        <v/>
      </c>
      <c r="E112" s="59">
        <f>baseCDI*(1+CDI_M)^A112</f>
        <v/>
      </c>
    </row>
    <row r="113">
      <c r="A113" t="n">
        <v>98</v>
      </c>
      <c r="B113" s="60">
        <f>IF(Vest_Tipo="Unico ao final",IF(A113&gt;=Vest_Total,1,0),IF(A113&lt;Cliff,0,IF(A113&gt;=Vest_Total,1,IF(AND(Cliff&gt;0,Vest_Total&gt;Cliff),(Cliff_Pct/100)+(1-(Cliff_Pct/100))*((A113-Cliff)/(Vest_Total-Cliff)),(Cliff_Pct/100)))))</f>
        <v/>
      </c>
      <c r="C113" s="59">
        <f>IF(Modalidade="Aquisicao direta",IF(A113&lt;Lockup_Aq,custoAq*(1+CDI_M)^A113,PartInt*(1+CAGR_M)^A113),IF(A113&lt;Vest_Total,B113*PartInt*(1+CAGR_M)^A113,IF(A113&lt;Vest_Total+Lockup_Vest,(PartInt*(1+CAGR_M)^Vest_Total)*(1+CDI_M)^(A113-Vest_Total),PartInt*(1+CAGR_M)^A113)))</f>
        <v/>
      </c>
      <c r="D113" s="59">
        <f>IF(Modalidade="Aquisicao direta",PartExt*(1+CAGR_M)^A113,B113*PartExt*(1+CAGR_M)^A113)</f>
        <v/>
      </c>
      <c r="E113" s="59">
        <f>baseCDI*(1+CDI_M)^A113</f>
        <v/>
      </c>
    </row>
    <row r="114">
      <c r="A114" t="n">
        <v>99</v>
      </c>
      <c r="B114" s="60">
        <f>IF(Vest_Tipo="Unico ao final",IF(A114&gt;=Vest_Total,1,0),IF(A114&lt;Cliff,0,IF(A114&gt;=Vest_Total,1,IF(AND(Cliff&gt;0,Vest_Total&gt;Cliff),(Cliff_Pct/100)+(1-(Cliff_Pct/100))*((A114-Cliff)/(Vest_Total-Cliff)),(Cliff_Pct/100)))))</f>
        <v/>
      </c>
      <c r="C114" s="59">
        <f>IF(Modalidade="Aquisicao direta",IF(A114&lt;Lockup_Aq,custoAq*(1+CDI_M)^A114,PartInt*(1+CAGR_M)^A114),IF(A114&lt;Vest_Total,B114*PartInt*(1+CAGR_M)^A114,IF(A114&lt;Vest_Total+Lockup_Vest,(PartInt*(1+CAGR_M)^Vest_Total)*(1+CDI_M)^(A114-Vest_Total),PartInt*(1+CAGR_M)^A114)))</f>
        <v/>
      </c>
      <c r="D114" s="59">
        <f>IF(Modalidade="Aquisicao direta",PartExt*(1+CAGR_M)^A114,B114*PartExt*(1+CAGR_M)^A114)</f>
        <v/>
      </c>
      <c r="E114" s="59">
        <f>baseCDI*(1+CDI_M)^A114</f>
        <v/>
      </c>
    </row>
    <row r="115">
      <c r="A115" t="n">
        <v>100</v>
      </c>
      <c r="B115" s="60">
        <f>IF(Vest_Tipo="Unico ao final",IF(A115&gt;=Vest_Total,1,0),IF(A115&lt;Cliff,0,IF(A115&gt;=Vest_Total,1,IF(AND(Cliff&gt;0,Vest_Total&gt;Cliff),(Cliff_Pct/100)+(1-(Cliff_Pct/100))*((A115-Cliff)/(Vest_Total-Cliff)),(Cliff_Pct/100)))))</f>
        <v/>
      </c>
      <c r="C115" s="59">
        <f>IF(Modalidade="Aquisicao direta",IF(A115&lt;Lockup_Aq,custoAq*(1+CDI_M)^A115,PartInt*(1+CAGR_M)^A115),IF(A115&lt;Vest_Total,B115*PartInt*(1+CAGR_M)^A115,IF(A115&lt;Vest_Total+Lockup_Vest,(PartInt*(1+CAGR_M)^Vest_Total)*(1+CDI_M)^(A115-Vest_Total),PartInt*(1+CAGR_M)^A115)))</f>
        <v/>
      </c>
      <c r="D115" s="59">
        <f>IF(Modalidade="Aquisicao direta",PartExt*(1+CAGR_M)^A115,B115*PartExt*(1+CAGR_M)^A115)</f>
        <v/>
      </c>
      <c r="E115" s="59">
        <f>baseCDI*(1+CDI_M)^A115</f>
        <v/>
      </c>
    </row>
    <row r="116">
      <c r="A116" t="n">
        <v>101</v>
      </c>
      <c r="B116" s="60">
        <f>IF(Vest_Tipo="Unico ao final",IF(A116&gt;=Vest_Total,1,0),IF(A116&lt;Cliff,0,IF(A116&gt;=Vest_Total,1,IF(AND(Cliff&gt;0,Vest_Total&gt;Cliff),(Cliff_Pct/100)+(1-(Cliff_Pct/100))*((A116-Cliff)/(Vest_Total-Cliff)),(Cliff_Pct/100)))))</f>
        <v/>
      </c>
      <c r="C116" s="59">
        <f>IF(Modalidade="Aquisicao direta",IF(A116&lt;Lockup_Aq,custoAq*(1+CDI_M)^A116,PartInt*(1+CAGR_M)^A116),IF(A116&lt;Vest_Total,B116*PartInt*(1+CAGR_M)^A116,IF(A116&lt;Vest_Total+Lockup_Vest,(PartInt*(1+CAGR_M)^Vest_Total)*(1+CDI_M)^(A116-Vest_Total),PartInt*(1+CAGR_M)^A116)))</f>
        <v/>
      </c>
      <c r="D116" s="59">
        <f>IF(Modalidade="Aquisicao direta",PartExt*(1+CAGR_M)^A116,B116*PartExt*(1+CAGR_M)^A116)</f>
        <v/>
      </c>
      <c r="E116" s="59">
        <f>baseCDI*(1+CDI_M)^A116</f>
        <v/>
      </c>
    </row>
    <row r="117">
      <c r="A117" t="n">
        <v>102</v>
      </c>
      <c r="B117" s="60">
        <f>IF(Vest_Tipo="Unico ao final",IF(A117&gt;=Vest_Total,1,0),IF(A117&lt;Cliff,0,IF(A117&gt;=Vest_Total,1,IF(AND(Cliff&gt;0,Vest_Total&gt;Cliff),(Cliff_Pct/100)+(1-(Cliff_Pct/100))*((A117-Cliff)/(Vest_Total-Cliff)),(Cliff_Pct/100)))))</f>
        <v/>
      </c>
      <c r="C117" s="59">
        <f>IF(Modalidade="Aquisicao direta",IF(A117&lt;Lockup_Aq,custoAq*(1+CDI_M)^A117,PartInt*(1+CAGR_M)^A117),IF(A117&lt;Vest_Total,B117*PartInt*(1+CAGR_M)^A117,IF(A117&lt;Vest_Total+Lockup_Vest,(PartInt*(1+CAGR_M)^Vest_Total)*(1+CDI_M)^(A117-Vest_Total),PartInt*(1+CAGR_M)^A117)))</f>
        <v/>
      </c>
      <c r="D117" s="59">
        <f>IF(Modalidade="Aquisicao direta",PartExt*(1+CAGR_M)^A117,B117*PartExt*(1+CAGR_M)^A117)</f>
        <v/>
      </c>
      <c r="E117" s="59">
        <f>baseCDI*(1+CDI_M)^A117</f>
        <v/>
      </c>
    </row>
    <row r="118">
      <c r="A118" t="n">
        <v>103</v>
      </c>
      <c r="B118" s="60">
        <f>IF(Vest_Tipo="Unico ao final",IF(A118&gt;=Vest_Total,1,0),IF(A118&lt;Cliff,0,IF(A118&gt;=Vest_Total,1,IF(AND(Cliff&gt;0,Vest_Total&gt;Cliff),(Cliff_Pct/100)+(1-(Cliff_Pct/100))*((A118-Cliff)/(Vest_Total-Cliff)),(Cliff_Pct/100)))))</f>
        <v/>
      </c>
      <c r="C118" s="59">
        <f>IF(Modalidade="Aquisicao direta",IF(A118&lt;Lockup_Aq,custoAq*(1+CDI_M)^A118,PartInt*(1+CAGR_M)^A118),IF(A118&lt;Vest_Total,B118*PartInt*(1+CAGR_M)^A118,IF(A118&lt;Vest_Total+Lockup_Vest,(PartInt*(1+CAGR_M)^Vest_Total)*(1+CDI_M)^(A118-Vest_Total),PartInt*(1+CAGR_M)^A118)))</f>
        <v/>
      </c>
      <c r="D118" s="59">
        <f>IF(Modalidade="Aquisicao direta",PartExt*(1+CAGR_M)^A118,B118*PartExt*(1+CAGR_M)^A118)</f>
        <v/>
      </c>
      <c r="E118" s="59">
        <f>baseCDI*(1+CDI_M)^A118</f>
        <v/>
      </c>
    </row>
    <row r="119">
      <c r="A119" t="n">
        <v>104</v>
      </c>
      <c r="B119" s="60">
        <f>IF(Vest_Tipo="Unico ao final",IF(A119&gt;=Vest_Total,1,0),IF(A119&lt;Cliff,0,IF(A119&gt;=Vest_Total,1,IF(AND(Cliff&gt;0,Vest_Total&gt;Cliff),(Cliff_Pct/100)+(1-(Cliff_Pct/100))*((A119-Cliff)/(Vest_Total-Cliff)),(Cliff_Pct/100)))))</f>
        <v/>
      </c>
      <c r="C119" s="59">
        <f>IF(Modalidade="Aquisicao direta",IF(A119&lt;Lockup_Aq,custoAq*(1+CDI_M)^A119,PartInt*(1+CAGR_M)^A119),IF(A119&lt;Vest_Total,B119*PartInt*(1+CAGR_M)^A119,IF(A119&lt;Vest_Total+Lockup_Vest,(PartInt*(1+CAGR_M)^Vest_Total)*(1+CDI_M)^(A119-Vest_Total),PartInt*(1+CAGR_M)^A119)))</f>
        <v/>
      </c>
      <c r="D119" s="59">
        <f>IF(Modalidade="Aquisicao direta",PartExt*(1+CAGR_M)^A119,B119*PartExt*(1+CAGR_M)^A119)</f>
        <v/>
      </c>
      <c r="E119" s="59">
        <f>baseCDI*(1+CDI_M)^A119</f>
        <v/>
      </c>
    </row>
    <row r="120">
      <c r="A120" t="n">
        <v>105</v>
      </c>
      <c r="B120" s="60">
        <f>IF(Vest_Tipo="Unico ao final",IF(A120&gt;=Vest_Total,1,0),IF(A120&lt;Cliff,0,IF(A120&gt;=Vest_Total,1,IF(AND(Cliff&gt;0,Vest_Total&gt;Cliff),(Cliff_Pct/100)+(1-(Cliff_Pct/100))*((A120-Cliff)/(Vest_Total-Cliff)),(Cliff_Pct/100)))))</f>
        <v/>
      </c>
      <c r="C120" s="59">
        <f>IF(Modalidade="Aquisicao direta",IF(A120&lt;Lockup_Aq,custoAq*(1+CDI_M)^A120,PartInt*(1+CAGR_M)^A120),IF(A120&lt;Vest_Total,B120*PartInt*(1+CAGR_M)^A120,IF(A120&lt;Vest_Total+Lockup_Vest,(PartInt*(1+CAGR_M)^Vest_Total)*(1+CDI_M)^(A120-Vest_Total),PartInt*(1+CAGR_M)^A120)))</f>
        <v/>
      </c>
      <c r="D120" s="59">
        <f>IF(Modalidade="Aquisicao direta",PartExt*(1+CAGR_M)^A120,B120*PartExt*(1+CAGR_M)^A120)</f>
        <v/>
      </c>
      <c r="E120" s="59">
        <f>baseCDI*(1+CDI_M)^A120</f>
        <v/>
      </c>
    </row>
    <row r="121">
      <c r="A121" t="n">
        <v>106</v>
      </c>
      <c r="B121" s="60">
        <f>IF(Vest_Tipo="Unico ao final",IF(A121&gt;=Vest_Total,1,0),IF(A121&lt;Cliff,0,IF(A121&gt;=Vest_Total,1,IF(AND(Cliff&gt;0,Vest_Total&gt;Cliff),(Cliff_Pct/100)+(1-(Cliff_Pct/100))*((A121-Cliff)/(Vest_Total-Cliff)),(Cliff_Pct/100)))))</f>
        <v/>
      </c>
      <c r="C121" s="59">
        <f>IF(Modalidade="Aquisicao direta",IF(A121&lt;Lockup_Aq,custoAq*(1+CDI_M)^A121,PartInt*(1+CAGR_M)^A121),IF(A121&lt;Vest_Total,B121*PartInt*(1+CAGR_M)^A121,IF(A121&lt;Vest_Total+Lockup_Vest,(PartInt*(1+CAGR_M)^Vest_Total)*(1+CDI_M)^(A121-Vest_Total),PartInt*(1+CAGR_M)^A121)))</f>
        <v/>
      </c>
      <c r="D121" s="59">
        <f>IF(Modalidade="Aquisicao direta",PartExt*(1+CAGR_M)^A121,B121*PartExt*(1+CAGR_M)^A121)</f>
        <v/>
      </c>
      <c r="E121" s="59">
        <f>baseCDI*(1+CDI_M)^A121</f>
        <v/>
      </c>
    </row>
    <row r="122">
      <c r="A122" t="n">
        <v>107</v>
      </c>
      <c r="B122" s="60">
        <f>IF(Vest_Tipo="Unico ao final",IF(A122&gt;=Vest_Total,1,0),IF(A122&lt;Cliff,0,IF(A122&gt;=Vest_Total,1,IF(AND(Cliff&gt;0,Vest_Total&gt;Cliff),(Cliff_Pct/100)+(1-(Cliff_Pct/100))*((A122-Cliff)/(Vest_Total-Cliff)),(Cliff_Pct/100)))))</f>
        <v/>
      </c>
      <c r="C122" s="59">
        <f>IF(Modalidade="Aquisicao direta",IF(A122&lt;Lockup_Aq,custoAq*(1+CDI_M)^A122,PartInt*(1+CAGR_M)^A122),IF(A122&lt;Vest_Total,B122*PartInt*(1+CAGR_M)^A122,IF(A122&lt;Vest_Total+Lockup_Vest,(PartInt*(1+CAGR_M)^Vest_Total)*(1+CDI_M)^(A122-Vest_Total),PartInt*(1+CAGR_M)^A122)))</f>
        <v/>
      </c>
      <c r="D122" s="59">
        <f>IF(Modalidade="Aquisicao direta",PartExt*(1+CAGR_M)^A122,B122*PartExt*(1+CAGR_M)^A122)</f>
        <v/>
      </c>
      <c r="E122" s="59">
        <f>baseCDI*(1+CDI_M)^A122</f>
        <v/>
      </c>
    </row>
    <row r="123">
      <c r="A123" t="n">
        <v>108</v>
      </c>
      <c r="B123" s="60">
        <f>IF(Vest_Tipo="Unico ao final",IF(A123&gt;=Vest_Total,1,0),IF(A123&lt;Cliff,0,IF(A123&gt;=Vest_Total,1,IF(AND(Cliff&gt;0,Vest_Total&gt;Cliff),(Cliff_Pct/100)+(1-(Cliff_Pct/100))*((A123-Cliff)/(Vest_Total-Cliff)),(Cliff_Pct/100)))))</f>
        <v/>
      </c>
      <c r="C123" s="59">
        <f>IF(Modalidade="Aquisicao direta",IF(A123&lt;Lockup_Aq,custoAq*(1+CDI_M)^A123,PartInt*(1+CAGR_M)^A123),IF(A123&lt;Vest_Total,B123*PartInt*(1+CAGR_M)^A123,IF(A123&lt;Vest_Total+Lockup_Vest,(PartInt*(1+CAGR_M)^Vest_Total)*(1+CDI_M)^(A123-Vest_Total),PartInt*(1+CAGR_M)^A123)))</f>
        <v/>
      </c>
      <c r="D123" s="59">
        <f>IF(Modalidade="Aquisicao direta",PartExt*(1+CAGR_M)^A123,B123*PartExt*(1+CAGR_M)^A123)</f>
        <v/>
      </c>
      <c r="E123" s="59">
        <f>baseCDI*(1+CDI_M)^A123</f>
        <v/>
      </c>
    </row>
    <row r="124">
      <c r="A124" t="n">
        <v>109</v>
      </c>
      <c r="B124" s="60">
        <f>IF(Vest_Tipo="Unico ao final",IF(A124&gt;=Vest_Total,1,0),IF(A124&lt;Cliff,0,IF(A124&gt;=Vest_Total,1,IF(AND(Cliff&gt;0,Vest_Total&gt;Cliff),(Cliff_Pct/100)+(1-(Cliff_Pct/100))*((A124-Cliff)/(Vest_Total-Cliff)),(Cliff_Pct/100)))))</f>
        <v/>
      </c>
      <c r="C124" s="59">
        <f>IF(Modalidade="Aquisicao direta",IF(A124&lt;Lockup_Aq,custoAq*(1+CDI_M)^A124,PartInt*(1+CAGR_M)^A124),IF(A124&lt;Vest_Total,B124*PartInt*(1+CAGR_M)^A124,IF(A124&lt;Vest_Total+Lockup_Vest,(PartInt*(1+CAGR_M)^Vest_Total)*(1+CDI_M)^(A124-Vest_Total),PartInt*(1+CAGR_M)^A124)))</f>
        <v/>
      </c>
      <c r="D124" s="59">
        <f>IF(Modalidade="Aquisicao direta",PartExt*(1+CAGR_M)^A124,B124*PartExt*(1+CAGR_M)^A124)</f>
        <v/>
      </c>
      <c r="E124" s="59">
        <f>baseCDI*(1+CDI_M)^A124</f>
        <v/>
      </c>
    </row>
    <row r="125">
      <c r="A125" t="n">
        <v>110</v>
      </c>
      <c r="B125" s="60">
        <f>IF(Vest_Tipo="Unico ao final",IF(A125&gt;=Vest_Total,1,0),IF(A125&lt;Cliff,0,IF(A125&gt;=Vest_Total,1,IF(AND(Cliff&gt;0,Vest_Total&gt;Cliff),(Cliff_Pct/100)+(1-(Cliff_Pct/100))*((A125-Cliff)/(Vest_Total-Cliff)),(Cliff_Pct/100)))))</f>
        <v/>
      </c>
      <c r="C125" s="59">
        <f>IF(Modalidade="Aquisicao direta",IF(A125&lt;Lockup_Aq,custoAq*(1+CDI_M)^A125,PartInt*(1+CAGR_M)^A125),IF(A125&lt;Vest_Total,B125*PartInt*(1+CAGR_M)^A125,IF(A125&lt;Vest_Total+Lockup_Vest,(PartInt*(1+CAGR_M)^Vest_Total)*(1+CDI_M)^(A125-Vest_Total),PartInt*(1+CAGR_M)^A125)))</f>
        <v/>
      </c>
      <c r="D125" s="59">
        <f>IF(Modalidade="Aquisicao direta",PartExt*(1+CAGR_M)^A125,B125*PartExt*(1+CAGR_M)^A125)</f>
        <v/>
      </c>
      <c r="E125" s="59">
        <f>baseCDI*(1+CDI_M)^A125</f>
        <v/>
      </c>
    </row>
    <row r="126">
      <c r="A126" t="n">
        <v>111</v>
      </c>
      <c r="B126" s="60">
        <f>IF(Vest_Tipo="Unico ao final",IF(A126&gt;=Vest_Total,1,0),IF(A126&lt;Cliff,0,IF(A126&gt;=Vest_Total,1,IF(AND(Cliff&gt;0,Vest_Total&gt;Cliff),(Cliff_Pct/100)+(1-(Cliff_Pct/100))*((A126-Cliff)/(Vest_Total-Cliff)),(Cliff_Pct/100)))))</f>
        <v/>
      </c>
      <c r="C126" s="59">
        <f>IF(Modalidade="Aquisicao direta",IF(A126&lt;Lockup_Aq,custoAq*(1+CDI_M)^A126,PartInt*(1+CAGR_M)^A126),IF(A126&lt;Vest_Total,B126*PartInt*(1+CAGR_M)^A126,IF(A126&lt;Vest_Total+Lockup_Vest,(PartInt*(1+CAGR_M)^Vest_Total)*(1+CDI_M)^(A126-Vest_Total),PartInt*(1+CAGR_M)^A126)))</f>
        <v/>
      </c>
      <c r="D126" s="59">
        <f>IF(Modalidade="Aquisicao direta",PartExt*(1+CAGR_M)^A126,B126*PartExt*(1+CAGR_M)^A126)</f>
        <v/>
      </c>
      <c r="E126" s="59">
        <f>baseCDI*(1+CDI_M)^A126</f>
        <v/>
      </c>
    </row>
    <row r="127">
      <c r="A127" t="n">
        <v>112</v>
      </c>
      <c r="B127" s="60">
        <f>IF(Vest_Tipo="Unico ao final",IF(A127&gt;=Vest_Total,1,0),IF(A127&lt;Cliff,0,IF(A127&gt;=Vest_Total,1,IF(AND(Cliff&gt;0,Vest_Total&gt;Cliff),(Cliff_Pct/100)+(1-(Cliff_Pct/100))*((A127-Cliff)/(Vest_Total-Cliff)),(Cliff_Pct/100)))))</f>
        <v/>
      </c>
      <c r="C127" s="59">
        <f>IF(Modalidade="Aquisicao direta",IF(A127&lt;Lockup_Aq,custoAq*(1+CDI_M)^A127,PartInt*(1+CAGR_M)^A127),IF(A127&lt;Vest_Total,B127*PartInt*(1+CAGR_M)^A127,IF(A127&lt;Vest_Total+Lockup_Vest,(PartInt*(1+CAGR_M)^Vest_Total)*(1+CDI_M)^(A127-Vest_Total),PartInt*(1+CAGR_M)^A127)))</f>
        <v/>
      </c>
      <c r="D127" s="59">
        <f>IF(Modalidade="Aquisicao direta",PartExt*(1+CAGR_M)^A127,B127*PartExt*(1+CAGR_M)^A127)</f>
        <v/>
      </c>
      <c r="E127" s="59">
        <f>baseCDI*(1+CDI_M)^A127</f>
        <v/>
      </c>
    </row>
    <row r="128">
      <c r="A128" t="n">
        <v>113</v>
      </c>
      <c r="B128" s="60">
        <f>IF(Vest_Tipo="Unico ao final",IF(A128&gt;=Vest_Total,1,0),IF(A128&lt;Cliff,0,IF(A128&gt;=Vest_Total,1,IF(AND(Cliff&gt;0,Vest_Total&gt;Cliff),(Cliff_Pct/100)+(1-(Cliff_Pct/100))*((A128-Cliff)/(Vest_Total-Cliff)),(Cliff_Pct/100)))))</f>
        <v/>
      </c>
      <c r="C128" s="59">
        <f>IF(Modalidade="Aquisicao direta",IF(A128&lt;Lockup_Aq,custoAq*(1+CDI_M)^A128,PartInt*(1+CAGR_M)^A128),IF(A128&lt;Vest_Total,B128*PartInt*(1+CAGR_M)^A128,IF(A128&lt;Vest_Total+Lockup_Vest,(PartInt*(1+CAGR_M)^Vest_Total)*(1+CDI_M)^(A128-Vest_Total),PartInt*(1+CAGR_M)^A128)))</f>
        <v/>
      </c>
      <c r="D128" s="59">
        <f>IF(Modalidade="Aquisicao direta",PartExt*(1+CAGR_M)^A128,B128*PartExt*(1+CAGR_M)^A128)</f>
        <v/>
      </c>
      <c r="E128" s="59">
        <f>baseCDI*(1+CDI_M)^A128</f>
        <v/>
      </c>
    </row>
    <row r="129">
      <c r="A129" t="n">
        <v>114</v>
      </c>
      <c r="B129" s="60">
        <f>IF(Vest_Tipo="Unico ao final",IF(A129&gt;=Vest_Total,1,0),IF(A129&lt;Cliff,0,IF(A129&gt;=Vest_Total,1,IF(AND(Cliff&gt;0,Vest_Total&gt;Cliff),(Cliff_Pct/100)+(1-(Cliff_Pct/100))*((A129-Cliff)/(Vest_Total-Cliff)),(Cliff_Pct/100)))))</f>
        <v/>
      </c>
      <c r="C129" s="59">
        <f>IF(Modalidade="Aquisicao direta",IF(A129&lt;Lockup_Aq,custoAq*(1+CDI_M)^A129,PartInt*(1+CAGR_M)^A129),IF(A129&lt;Vest_Total,B129*PartInt*(1+CAGR_M)^A129,IF(A129&lt;Vest_Total+Lockup_Vest,(PartInt*(1+CAGR_M)^Vest_Total)*(1+CDI_M)^(A129-Vest_Total),PartInt*(1+CAGR_M)^A129)))</f>
        <v/>
      </c>
      <c r="D129" s="59">
        <f>IF(Modalidade="Aquisicao direta",PartExt*(1+CAGR_M)^A129,B129*PartExt*(1+CAGR_M)^A129)</f>
        <v/>
      </c>
      <c r="E129" s="59">
        <f>baseCDI*(1+CDI_M)^A129</f>
        <v/>
      </c>
    </row>
    <row r="130">
      <c r="A130" t="n">
        <v>115</v>
      </c>
      <c r="B130" s="60">
        <f>IF(Vest_Tipo="Unico ao final",IF(A130&gt;=Vest_Total,1,0),IF(A130&lt;Cliff,0,IF(A130&gt;=Vest_Total,1,IF(AND(Cliff&gt;0,Vest_Total&gt;Cliff),(Cliff_Pct/100)+(1-(Cliff_Pct/100))*((A130-Cliff)/(Vest_Total-Cliff)),(Cliff_Pct/100)))))</f>
        <v/>
      </c>
      <c r="C130" s="59">
        <f>IF(Modalidade="Aquisicao direta",IF(A130&lt;Lockup_Aq,custoAq*(1+CDI_M)^A130,PartInt*(1+CAGR_M)^A130),IF(A130&lt;Vest_Total,B130*PartInt*(1+CAGR_M)^A130,IF(A130&lt;Vest_Total+Lockup_Vest,(PartInt*(1+CAGR_M)^Vest_Total)*(1+CDI_M)^(A130-Vest_Total),PartInt*(1+CAGR_M)^A130)))</f>
        <v/>
      </c>
      <c r="D130" s="59">
        <f>IF(Modalidade="Aquisicao direta",PartExt*(1+CAGR_M)^A130,B130*PartExt*(1+CAGR_M)^A130)</f>
        <v/>
      </c>
      <c r="E130" s="59">
        <f>baseCDI*(1+CDI_M)^A130</f>
        <v/>
      </c>
    </row>
    <row r="131">
      <c r="A131" t="n">
        <v>116</v>
      </c>
      <c r="B131" s="60">
        <f>IF(Vest_Tipo="Unico ao final",IF(A131&gt;=Vest_Total,1,0),IF(A131&lt;Cliff,0,IF(A131&gt;=Vest_Total,1,IF(AND(Cliff&gt;0,Vest_Total&gt;Cliff),(Cliff_Pct/100)+(1-(Cliff_Pct/100))*((A131-Cliff)/(Vest_Total-Cliff)),(Cliff_Pct/100)))))</f>
        <v/>
      </c>
      <c r="C131" s="59">
        <f>IF(Modalidade="Aquisicao direta",IF(A131&lt;Lockup_Aq,custoAq*(1+CDI_M)^A131,PartInt*(1+CAGR_M)^A131),IF(A131&lt;Vest_Total,B131*PartInt*(1+CAGR_M)^A131,IF(A131&lt;Vest_Total+Lockup_Vest,(PartInt*(1+CAGR_M)^Vest_Total)*(1+CDI_M)^(A131-Vest_Total),PartInt*(1+CAGR_M)^A131)))</f>
        <v/>
      </c>
      <c r="D131" s="59">
        <f>IF(Modalidade="Aquisicao direta",PartExt*(1+CAGR_M)^A131,B131*PartExt*(1+CAGR_M)^A131)</f>
        <v/>
      </c>
      <c r="E131" s="59">
        <f>baseCDI*(1+CDI_M)^A131</f>
        <v/>
      </c>
    </row>
    <row r="132">
      <c r="A132" t="n">
        <v>117</v>
      </c>
      <c r="B132" s="60">
        <f>IF(Vest_Tipo="Unico ao final",IF(A132&gt;=Vest_Total,1,0),IF(A132&lt;Cliff,0,IF(A132&gt;=Vest_Total,1,IF(AND(Cliff&gt;0,Vest_Total&gt;Cliff),(Cliff_Pct/100)+(1-(Cliff_Pct/100))*((A132-Cliff)/(Vest_Total-Cliff)),(Cliff_Pct/100)))))</f>
        <v/>
      </c>
      <c r="C132" s="59">
        <f>IF(Modalidade="Aquisicao direta",IF(A132&lt;Lockup_Aq,custoAq*(1+CDI_M)^A132,PartInt*(1+CAGR_M)^A132),IF(A132&lt;Vest_Total,B132*PartInt*(1+CAGR_M)^A132,IF(A132&lt;Vest_Total+Lockup_Vest,(PartInt*(1+CAGR_M)^Vest_Total)*(1+CDI_M)^(A132-Vest_Total),PartInt*(1+CAGR_M)^A132)))</f>
        <v/>
      </c>
      <c r="D132" s="59">
        <f>IF(Modalidade="Aquisicao direta",PartExt*(1+CAGR_M)^A132,B132*PartExt*(1+CAGR_M)^A132)</f>
        <v/>
      </c>
      <c r="E132" s="59">
        <f>baseCDI*(1+CDI_M)^A132</f>
        <v/>
      </c>
    </row>
    <row r="133">
      <c r="A133" t="n">
        <v>118</v>
      </c>
      <c r="B133" s="60">
        <f>IF(Vest_Tipo="Unico ao final",IF(A133&gt;=Vest_Total,1,0),IF(A133&lt;Cliff,0,IF(A133&gt;=Vest_Total,1,IF(AND(Cliff&gt;0,Vest_Total&gt;Cliff),(Cliff_Pct/100)+(1-(Cliff_Pct/100))*((A133-Cliff)/(Vest_Total-Cliff)),(Cliff_Pct/100)))))</f>
        <v/>
      </c>
      <c r="C133" s="59">
        <f>IF(Modalidade="Aquisicao direta",IF(A133&lt;Lockup_Aq,custoAq*(1+CDI_M)^A133,PartInt*(1+CAGR_M)^A133),IF(A133&lt;Vest_Total,B133*PartInt*(1+CAGR_M)^A133,IF(A133&lt;Vest_Total+Lockup_Vest,(PartInt*(1+CAGR_M)^Vest_Total)*(1+CDI_M)^(A133-Vest_Total),PartInt*(1+CAGR_M)^A133)))</f>
        <v/>
      </c>
      <c r="D133" s="59">
        <f>IF(Modalidade="Aquisicao direta",PartExt*(1+CAGR_M)^A133,B133*PartExt*(1+CAGR_M)^A133)</f>
        <v/>
      </c>
      <c r="E133" s="59">
        <f>baseCDI*(1+CDI_M)^A133</f>
        <v/>
      </c>
    </row>
    <row r="134">
      <c r="A134" t="n">
        <v>119</v>
      </c>
      <c r="B134" s="60">
        <f>IF(Vest_Tipo="Unico ao final",IF(A134&gt;=Vest_Total,1,0),IF(A134&lt;Cliff,0,IF(A134&gt;=Vest_Total,1,IF(AND(Cliff&gt;0,Vest_Total&gt;Cliff),(Cliff_Pct/100)+(1-(Cliff_Pct/100))*((A134-Cliff)/(Vest_Total-Cliff)),(Cliff_Pct/100)))))</f>
        <v/>
      </c>
      <c r="C134" s="59">
        <f>IF(Modalidade="Aquisicao direta",IF(A134&lt;Lockup_Aq,custoAq*(1+CDI_M)^A134,PartInt*(1+CAGR_M)^A134),IF(A134&lt;Vest_Total,B134*PartInt*(1+CAGR_M)^A134,IF(A134&lt;Vest_Total+Lockup_Vest,(PartInt*(1+CAGR_M)^Vest_Total)*(1+CDI_M)^(A134-Vest_Total),PartInt*(1+CAGR_M)^A134)))</f>
        <v/>
      </c>
      <c r="D134" s="59">
        <f>IF(Modalidade="Aquisicao direta",PartExt*(1+CAGR_M)^A134,B134*PartExt*(1+CAGR_M)^A134)</f>
        <v/>
      </c>
      <c r="E134" s="59">
        <f>baseCDI*(1+CDI_M)^A134</f>
        <v/>
      </c>
    </row>
    <row r="135">
      <c r="A135" t="n">
        <v>120</v>
      </c>
      <c r="B135" s="60">
        <f>IF(Vest_Tipo="Unico ao final",IF(A135&gt;=Vest_Total,1,0),IF(A135&lt;Cliff,0,IF(A135&gt;=Vest_Total,1,IF(AND(Cliff&gt;0,Vest_Total&gt;Cliff),(Cliff_Pct/100)+(1-(Cliff_Pct/100))*((A135-Cliff)/(Vest_Total-Cliff)),(Cliff_Pct/100)))))</f>
        <v/>
      </c>
      <c r="C135" s="59">
        <f>IF(Modalidade="Aquisicao direta",IF(A135&lt;Lockup_Aq,custoAq*(1+CDI_M)^A135,PartInt*(1+CAGR_M)^A135),IF(A135&lt;Vest_Total,B135*PartInt*(1+CAGR_M)^A135,IF(A135&lt;Vest_Total+Lockup_Vest,(PartInt*(1+CAGR_M)^Vest_Total)*(1+CDI_M)^(A135-Vest_Total),PartInt*(1+CAGR_M)^A135)))</f>
        <v/>
      </c>
      <c r="D135" s="59">
        <f>IF(Modalidade="Aquisicao direta",PartExt*(1+CAGR_M)^A135,B135*PartExt*(1+CAGR_M)^A135)</f>
        <v/>
      </c>
      <c r="E135" s="59">
        <f>baseCDI*(1+CDI_M)^A135</f>
        <v/>
      </c>
    </row>
    <row r="136">
      <c r="A136" t="n">
        <v>121</v>
      </c>
      <c r="B136" s="60">
        <f>IF(Vest_Tipo="Unico ao final",IF(A136&gt;=Vest_Total,1,0),IF(A136&lt;Cliff,0,IF(A136&gt;=Vest_Total,1,IF(AND(Cliff&gt;0,Vest_Total&gt;Cliff),(Cliff_Pct/100)+(1-(Cliff_Pct/100))*((A136-Cliff)/(Vest_Total-Cliff)),(Cliff_Pct/100)))))</f>
        <v/>
      </c>
      <c r="C136" s="59">
        <f>IF(Modalidade="Aquisicao direta",IF(A136&lt;Lockup_Aq,custoAq*(1+CDI_M)^A136,PartInt*(1+CAGR_M)^A136),IF(A136&lt;Vest_Total,B136*PartInt*(1+CAGR_M)^A136,IF(A136&lt;Vest_Total+Lockup_Vest,(PartInt*(1+CAGR_M)^Vest_Total)*(1+CDI_M)^(A136-Vest_Total),PartInt*(1+CAGR_M)^A136)))</f>
        <v/>
      </c>
      <c r="D136" s="59">
        <f>IF(Modalidade="Aquisicao direta",PartExt*(1+CAGR_M)^A136,B136*PartExt*(1+CAGR_M)^A136)</f>
        <v/>
      </c>
      <c r="E136" s="59">
        <f>baseCDI*(1+CDI_M)^A136</f>
        <v/>
      </c>
    </row>
    <row r="137">
      <c r="A137" t="n">
        <v>122</v>
      </c>
      <c r="B137" s="60">
        <f>IF(Vest_Tipo="Unico ao final",IF(A137&gt;=Vest_Total,1,0),IF(A137&lt;Cliff,0,IF(A137&gt;=Vest_Total,1,IF(AND(Cliff&gt;0,Vest_Total&gt;Cliff),(Cliff_Pct/100)+(1-(Cliff_Pct/100))*((A137-Cliff)/(Vest_Total-Cliff)),(Cliff_Pct/100)))))</f>
        <v/>
      </c>
      <c r="C137" s="59">
        <f>IF(Modalidade="Aquisicao direta",IF(A137&lt;Lockup_Aq,custoAq*(1+CDI_M)^A137,PartInt*(1+CAGR_M)^A137),IF(A137&lt;Vest_Total,B137*PartInt*(1+CAGR_M)^A137,IF(A137&lt;Vest_Total+Lockup_Vest,(PartInt*(1+CAGR_M)^Vest_Total)*(1+CDI_M)^(A137-Vest_Total),PartInt*(1+CAGR_M)^A137)))</f>
        <v/>
      </c>
      <c r="D137" s="59">
        <f>IF(Modalidade="Aquisicao direta",PartExt*(1+CAGR_M)^A137,B137*PartExt*(1+CAGR_M)^A137)</f>
        <v/>
      </c>
      <c r="E137" s="59">
        <f>baseCDI*(1+CDI_M)^A137</f>
        <v/>
      </c>
    </row>
    <row r="138">
      <c r="A138" t="n">
        <v>123</v>
      </c>
      <c r="B138" s="60">
        <f>IF(Vest_Tipo="Unico ao final",IF(A138&gt;=Vest_Total,1,0),IF(A138&lt;Cliff,0,IF(A138&gt;=Vest_Total,1,IF(AND(Cliff&gt;0,Vest_Total&gt;Cliff),(Cliff_Pct/100)+(1-(Cliff_Pct/100))*((A138-Cliff)/(Vest_Total-Cliff)),(Cliff_Pct/100)))))</f>
        <v/>
      </c>
      <c r="C138" s="59">
        <f>IF(Modalidade="Aquisicao direta",IF(A138&lt;Lockup_Aq,custoAq*(1+CDI_M)^A138,PartInt*(1+CAGR_M)^A138),IF(A138&lt;Vest_Total,B138*PartInt*(1+CAGR_M)^A138,IF(A138&lt;Vest_Total+Lockup_Vest,(PartInt*(1+CAGR_M)^Vest_Total)*(1+CDI_M)^(A138-Vest_Total),PartInt*(1+CAGR_M)^A138)))</f>
        <v/>
      </c>
      <c r="D138" s="59">
        <f>IF(Modalidade="Aquisicao direta",PartExt*(1+CAGR_M)^A138,B138*PartExt*(1+CAGR_M)^A138)</f>
        <v/>
      </c>
      <c r="E138" s="59">
        <f>baseCDI*(1+CDI_M)^A138</f>
        <v/>
      </c>
    </row>
    <row r="139">
      <c r="A139" t="n">
        <v>124</v>
      </c>
      <c r="B139" s="60">
        <f>IF(Vest_Tipo="Unico ao final",IF(A139&gt;=Vest_Total,1,0),IF(A139&lt;Cliff,0,IF(A139&gt;=Vest_Total,1,IF(AND(Cliff&gt;0,Vest_Total&gt;Cliff),(Cliff_Pct/100)+(1-(Cliff_Pct/100))*((A139-Cliff)/(Vest_Total-Cliff)),(Cliff_Pct/100)))))</f>
        <v/>
      </c>
      <c r="C139" s="59">
        <f>IF(Modalidade="Aquisicao direta",IF(A139&lt;Lockup_Aq,custoAq*(1+CDI_M)^A139,PartInt*(1+CAGR_M)^A139),IF(A139&lt;Vest_Total,B139*PartInt*(1+CAGR_M)^A139,IF(A139&lt;Vest_Total+Lockup_Vest,(PartInt*(1+CAGR_M)^Vest_Total)*(1+CDI_M)^(A139-Vest_Total),PartInt*(1+CAGR_M)^A139)))</f>
        <v/>
      </c>
      <c r="D139" s="59">
        <f>IF(Modalidade="Aquisicao direta",PartExt*(1+CAGR_M)^A139,B139*PartExt*(1+CAGR_M)^A139)</f>
        <v/>
      </c>
      <c r="E139" s="59">
        <f>baseCDI*(1+CDI_M)^A139</f>
        <v/>
      </c>
    </row>
    <row r="140">
      <c r="A140" t="n">
        <v>125</v>
      </c>
      <c r="B140" s="60">
        <f>IF(Vest_Tipo="Unico ao final",IF(A140&gt;=Vest_Total,1,0),IF(A140&lt;Cliff,0,IF(A140&gt;=Vest_Total,1,IF(AND(Cliff&gt;0,Vest_Total&gt;Cliff),(Cliff_Pct/100)+(1-(Cliff_Pct/100))*((A140-Cliff)/(Vest_Total-Cliff)),(Cliff_Pct/100)))))</f>
        <v/>
      </c>
      <c r="C140" s="59">
        <f>IF(Modalidade="Aquisicao direta",IF(A140&lt;Lockup_Aq,custoAq*(1+CDI_M)^A140,PartInt*(1+CAGR_M)^A140),IF(A140&lt;Vest_Total,B140*PartInt*(1+CAGR_M)^A140,IF(A140&lt;Vest_Total+Lockup_Vest,(PartInt*(1+CAGR_M)^Vest_Total)*(1+CDI_M)^(A140-Vest_Total),PartInt*(1+CAGR_M)^A140)))</f>
        <v/>
      </c>
      <c r="D140" s="59">
        <f>IF(Modalidade="Aquisicao direta",PartExt*(1+CAGR_M)^A140,B140*PartExt*(1+CAGR_M)^A140)</f>
        <v/>
      </c>
      <c r="E140" s="59">
        <f>baseCDI*(1+CDI_M)^A140</f>
        <v/>
      </c>
    </row>
    <row r="141">
      <c r="A141" t="n">
        <v>126</v>
      </c>
      <c r="B141" s="60">
        <f>IF(Vest_Tipo="Unico ao final",IF(A141&gt;=Vest_Total,1,0),IF(A141&lt;Cliff,0,IF(A141&gt;=Vest_Total,1,IF(AND(Cliff&gt;0,Vest_Total&gt;Cliff),(Cliff_Pct/100)+(1-(Cliff_Pct/100))*((A141-Cliff)/(Vest_Total-Cliff)),(Cliff_Pct/100)))))</f>
        <v/>
      </c>
      <c r="C141" s="59">
        <f>IF(Modalidade="Aquisicao direta",IF(A141&lt;Lockup_Aq,custoAq*(1+CDI_M)^A141,PartInt*(1+CAGR_M)^A141),IF(A141&lt;Vest_Total,B141*PartInt*(1+CAGR_M)^A141,IF(A141&lt;Vest_Total+Lockup_Vest,(PartInt*(1+CAGR_M)^Vest_Total)*(1+CDI_M)^(A141-Vest_Total),PartInt*(1+CAGR_M)^A141)))</f>
        <v/>
      </c>
      <c r="D141" s="59">
        <f>IF(Modalidade="Aquisicao direta",PartExt*(1+CAGR_M)^A141,B141*PartExt*(1+CAGR_M)^A141)</f>
        <v/>
      </c>
      <c r="E141" s="59">
        <f>baseCDI*(1+CDI_M)^A141</f>
        <v/>
      </c>
    </row>
    <row r="142">
      <c r="A142" t="n">
        <v>127</v>
      </c>
      <c r="B142" s="60">
        <f>IF(Vest_Tipo="Unico ao final",IF(A142&gt;=Vest_Total,1,0),IF(A142&lt;Cliff,0,IF(A142&gt;=Vest_Total,1,IF(AND(Cliff&gt;0,Vest_Total&gt;Cliff),(Cliff_Pct/100)+(1-(Cliff_Pct/100))*((A142-Cliff)/(Vest_Total-Cliff)),(Cliff_Pct/100)))))</f>
        <v/>
      </c>
      <c r="C142" s="59">
        <f>IF(Modalidade="Aquisicao direta",IF(A142&lt;Lockup_Aq,custoAq*(1+CDI_M)^A142,PartInt*(1+CAGR_M)^A142),IF(A142&lt;Vest_Total,B142*PartInt*(1+CAGR_M)^A142,IF(A142&lt;Vest_Total+Lockup_Vest,(PartInt*(1+CAGR_M)^Vest_Total)*(1+CDI_M)^(A142-Vest_Total),PartInt*(1+CAGR_M)^A142)))</f>
        <v/>
      </c>
      <c r="D142" s="59">
        <f>IF(Modalidade="Aquisicao direta",PartExt*(1+CAGR_M)^A142,B142*PartExt*(1+CAGR_M)^A142)</f>
        <v/>
      </c>
      <c r="E142" s="59">
        <f>baseCDI*(1+CDI_M)^A142</f>
        <v/>
      </c>
    </row>
    <row r="143">
      <c r="A143" t="n">
        <v>128</v>
      </c>
      <c r="B143" s="60">
        <f>IF(Vest_Tipo="Unico ao final",IF(A143&gt;=Vest_Total,1,0),IF(A143&lt;Cliff,0,IF(A143&gt;=Vest_Total,1,IF(AND(Cliff&gt;0,Vest_Total&gt;Cliff),(Cliff_Pct/100)+(1-(Cliff_Pct/100))*((A143-Cliff)/(Vest_Total-Cliff)),(Cliff_Pct/100)))))</f>
        <v/>
      </c>
      <c r="C143" s="59">
        <f>IF(Modalidade="Aquisicao direta",IF(A143&lt;Lockup_Aq,custoAq*(1+CDI_M)^A143,PartInt*(1+CAGR_M)^A143),IF(A143&lt;Vest_Total,B143*PartInt*(1+CAGR_M)^A143,IF(A143&lt;Vest_Total+Lockup_Vest,(PartInt*(1+CAGR_M)^Vest_Total)*(1+CDI_M)^(A143-Vest_Total),PartInt*(1+CAGR_M)^A143)))</f>
        <v/>
      </c>
      <c r="D143" s="59">
        <f>IF(Modalidade="Aquisicao direta",PartExt*(1+CAGR_M)^A143,B143*PartExt*(1+CAGR_M)^A143)</f>
        <v/>
      </c>
      <c r="E143" s="59">
        <f>baseCDI*(1+CDI_M)^A143</f>
        <v/>
      </c>
    </row>
    <row r="144">
      <c r="A144" t="n">
        <v>129</v>
      </c>
      <c r="B144" s="60">
        <f>IF(Vest_Tipo="Unico ao final",IF(A144&gt;=Vest_Total,1,0),IF(A144&lt;Cliff,0,IF(A144&gt;=Vest_Total,1,IF(AND(Cliff&gt;0,Vest_Total&gt;Cliff),(Cliff_Pct/100)+(1-(Cliff_Pct/100))*((A144-Cliff)/(Vest_Total-Cliff)),(Cliff_Pct/100)))))</f>
        <v/>
      </c>
      <c r="C144" s="59">
        <f>IF(Modalidade="Aquisicao direta",IF(A144&lt;Lockup_Aq,custoAq*(1+CDI_M)^A144,PartInt*(1+CAGR_M)^A144),IF(A144&lt;Vest_Total,B144*PartInt*(1+CAGR_M)^A144,IF(A144&lt;Vest_Total+Lockup_Vest,(PartInt*(1+CAGR_M)^Vest_Total)*(1+CDI_M)^(A144-Vest_Total),PartInt*(1+CAGR_M)^A144)))</f>
        <v/>
      </c>
      <c r="D144" s="59">
        <f>IF(Modalidade="Aquisicao direta",PartExt*(1+CAGR_M)^A144,B144*PartExt*(1+CAGR_M)^A144)</f>
        <v/>
      </c>
      <c r="E144" s="59">
        <f>baseCDI*(1+CDI_M)^A144</f>
        <v/>
      </c>
    </row>
    <row r="145">
      <c r="A145" t="n">
        <v>130</v>
      </c>
      <c r="B145" s="60">
        <f>IF(Vest_Tipo="Unico ao final",IF(A145&gt;=Vest_Total,1,0),IF(A145&lt;Cliff,0,IF(A145&gt;=Vest_Total,1,IF(AND(Cliff&gt;0,Vest_Total&gt;Cliff),(Cliff_Pct/100)+(1-(Cliff_Pct/100))*((A145-Cliff)/(Vest_Total-Cliff)),(Cliff_Pct/100)))))</f>
        <v/>
      </c>
      <c r="C145" s="59">
        <f>IF(Modalidade="Aquisicao direta",IF(A145&lt;Lockup_Aq,custoAq*(1+CDI_M)^A145,PartInt*(1+CAGR_M)^A145),IF(A145&lt;Vest_Total,B145*PartInt*(1+CAGR_M)^A145,IF(A145&lt;Vest_Total+Lockup_Vest,(PartInt*(1+CAGR_M)^Vest_Total)*(1+CDI_M)^(A145-Vest_Total),PartInt*(1+CAGR_M)^A145)))</f>
        <v/>
      </c>
      <c r="D145" s="59">
        <f>IF(Modalidade="Aquisicao direta",PartExt*(1+CAGR_M)^A145,B145*PartExt*(1+CAGR_M)^A145)</f>
        <v/>
      </c>
      <c r="E145" s="59">
        <f>baseCDI*(1+CDI_M)^A145</f>
        <v/>
      </c>
    </row>
    <row r="146">
      <c r="A146" t="n">
        <v>131</v>
      </c>
      <c r="B146" s="60">
        <f>IF(Vest_Tipo="Unico ao final",IF(A146&gt;=Vest_Total,1,0),IF(A146&lt;Cliff,0,IF(A146&gt;=Vest_Total,1,IF(AND(Cliff&gt;0,Vest_Total&gt;Cliff),(Cliff_Pct/100)+(1-(Cliff_Pct/100))*((A146-Cliff)/(Vest_Total-Cliff)),(Cliff_Pct/100)))))</f>
        <v/>
      </c>
      <c r="C146" s="59">
        <f>IF(Modalidade="Aquisicao direta",IF(A146&lt;Lockup_Aq,custoAq*(1+CDI_M)^A146,PartInt*(1+CAGR_M)^A146),IF(A146&lt;Vest_Total,B146*PartInt*(1+CAGR_M)^A146,IF(A146&lt;Vest_Total+Lockup_Vest,(PartInt*(1+CAGR_M)^Vest_Total)*(1+CDI_M)^(A146-Vest_Total),PartInt*(1+CAGR_M)^A146)))</f>
        <v/>
      </c>
      <c r="D146" s="59">
        <f>IF(Modalidade="Aquisicao direta",PartExt*(1+CAGR_M)^A146,B146*PartExt*(1+CAGR_M)^A146)</f>
        <v/>
      </c>
      <c r="E146" s="59">
        <f>baseCDI*(1+CDI_M)^A146</f>
        <v/>
      </c>
    </row>
    <row r="147">
      <c r="A147" t="n">
        <v>132</v>
      </c>
      <c r="B147" s="60">
        <f>IF(Vest_Tipo="Unico ao final",IF(A147&gt;=Vest_Total,1,0),IF(A147&lt;Cliff,0,IF(A147&gt;=Vest_Total,1,IF(AND(Cliff&gt;0,Vest_Total&gt;Cliff),(Cliff_Pct/100)+(1-(Cliff_Pct/100))*((A147-Cliff)/(Vest_Total-Cliff)),(Cliff_Pct/100)))))</f>
        <v/>
      </c>
      <c r="C147" s="59">
        <f>IF(Modalidade="Aquisicao direta",IF(A147&lt;Lockup_Aq,custoAq*(1+CDI_M)^A147,PartInt*(1+CAGR_M)^A147),IF(A147&lt;Vest_Total,B147*PartInt*(1+CAGR_M)^A147,IF(A147&lt;Vest_Total+Lockup_Vest,(PartInt*(1+CAGR_M)^Vest_Total)*(1+CDI_M)^(A147-Vest_Total),PartInt*(1+CAGR_M)^A147)))</f>
        <v/>
      </c>
      <c r="D147" s="59">
        <f>IF(Modalidade="Aquisicao direta",PartExt*(1+CAGR_M)^A147,B147*PartExt*(1+CAGR_M)^A147)</f>
        <v/>
      </c>
      <c r="E147" s="59">
        <f>baseCDI*(1+CDI_M)^A147</f>
        <v/>
      </c>
    </row>
    <row r="148">
      <c r="A148" t="n">
        <v>133</v>
      </c>
      <c r="B148" s="60">
        <f>IF(Vest_Tipo="Unico ao final",IF(A148&gt;=Vest_Total,1,0),IF(A148&lt;Cliff,0,IF(A148&gt;=Vest_Total,1,IF(AND(Cliff&gt;0,Vest_Total&gt;Cliff),(Cliff_Pct/100)+(1-(Cliff_Pct/100))*((A148-Cliff)/(Vest_Total-Cliff)),(Cliff_Pct/100)))))</f>
        <v/>
      </c>
      <c r="C148" s="59">
        <f>IF(Modalidade="Aquisicao direta",IF(A148&lt;Lockup_Aq,custoAq*(1+CDI_M)^A148,PartInt*(1+CAGR_M)^A148),IF(A148&lt;Vest_Total,B148*PartInt*(1+CAGR_M)^A148,IF(A148&lt;Vest_Total+Lockup_Vest,(PartInt*(1+CAGR_M)^Vest_Total)*(1+CDI_M)^(A148-Vest_Total),PartInt*(1+CAGR_M)^A148)))</f>
        <v/>
      </c>
      <c r="D148" s="59">
        <f>IF(Modalidade="Aquisicao direta",PartExt*(1+CAGR_M)^A148,B148*PartExt*(1+CAGR_M)^A148)</f>
        <v/>
      </c>
      <c r="E148" s="59">
        <f>baseCDI*(1+CDI_M)^A148</f>
        <v/>
      </c>
    </row>
    <row r="149">
      <c r="A149" t="n">
        <v>134</v>
      </c>
      <c r="B149" s="60">
        <f>IF(Vest_Tipo="Unico ao final",IF(A149&gt;=Vest_Total,1,0),IF(A149&lt;Cliff,0,IF(A149&gt;=Vest_Total,1,IF(AND(Cliff&gt;0,Vest_Total&gt;Cliff),(Cliff_Pct/100)+(1-(Cliff_Pct/100))*((A149-Cliff)/(Vest_Total-Cliff)),(Cliff_Pct/100)))))</f>
        <v/>
      </c>
      <c r="C149" s="59">
        <f>IF(Modalidade="Aquisicao direta",IF(A149&lt;Lockup_Aq,custoAq*(1+CDI_M)^A149,PartInt*(1+CAGR_M)^A149),IF(A149&lt;Vest_Total,B149*PartInt*(1+CAGR_M)^A149,IF(A149&lt;Vest_Total+Lockup_Vest,(PartInt*(1+CAGR_M)^Vest_Total)*(1+CDI_M)^(A149-Vest_Total),PartInt*(1+CAGR_M)^A149)))</f>
        <v/>
      </c>
      <c r="D149" s="59">
        <f>IF(Modalidade="Aquisicao direta",PartExt*(1+CAGR_M)^A149,B149*PartExt*(1+CAGR_M)^A149)</f>
        <v/>
      </c>
      <c r="E149" s="59">
        <f>baseCDI*(1+CDI_M)^A149</f>
        <v/>
      </c>
    </row>
    <row r="150">
      <c r="A150" t="n">
        <v>135</v>
      </c>
      <c r="B150" s="60">
        <f>IF(Vest_Tipo="Unico ao final",IF(A150&gt;=Vest_Total,1,0),IF(A150&lt;Cliff,0,IF(A150&gt;=Vest_Total,1,IF(AND(Cliff&gt;0,Vest_Total&gt;Cliff),(Cliff_Pct/100)+(1-(Cliff_Pct/100))*((A150-Cliff)/(Vest_Total-Cliff)),(Cliff_Pct/100)))))</f>
        <v/>
      </c>
      <c r="C150" s="59">
        <f>IF(Modalidade="Aquisicao direta",IF(A150&lt;Lockup_Aq,custoAq*(1+CDI_M)^A150,PartInt*(1+CAGR_M)^A150),IF(A150&lt;Vest_Total,B150*PartInt*(1+CAGR_M)^A150,IF(A150&lt;Vest_Total+Lockup_Vest,(PartInt*(1+CAGR_M)^Vest_Total)*(1+CDI_M)^(A150-Vest_Total),PartInt*(1+CAGR_M)^A150)))</f>
        <v/>
      </c>
      <c r="D150" s="59">
        <f>IF(Modalidade="Aquisicao direta",PartExt*(1+CAGR_M)^A150,B150*PartExt*(1+CAGR_M)^A150)</f>
        <v/>
      </c>
      <c r="E150" s="59">
        <f>baseCDI*(1+CDI_M)^A150</f>
        <v/>
      </c>
    </row>
    <row r="151">
      <c r="A151" t="n">
        <v>136</v>
      </c>
      <c r="B151" s="60">
        <f>IF(Vest_Tipo="Unico ao final",IF(A151&gt;=Vest_Total,1,0),IF(A151&lt;Cliff,0,IF(A151&gt;=Vest_Total,1,IF(AND(Cliff&gt;0,Vest_Total&gt;Cliff),(Cliff_Pct/100)+(1-(Cliff_Pct/100))*((A151-Cliff)/(Vest_Total-Cliff)),(Cliff_Pct/100)))))</f>
        <v/>
      </c>
      <c r="C151" s="59">
        <f>IF(Modalidade="Aquisicao direta",IF(A151&lt;Lockup_Aq,custoAq*(1+CDI_M)^A151,PartInt*(1+CAGR_M)^A151),IF(A151&lt;Vest_Total,B151*PartInt*(1+CAGR_M)^A151,IF(A151&lt;Vest_Total+Lockup_Vest,(PartInt*(1+CAGR_M)^Vest_Total)*(1+CDI_M)^(A151-Vest_Total),PartInt*(1+CAGR_M)^A151)))</f>
        <v/>
      </c>
      <c r="D151" s="59">
        <f>IF(Modalidade="Aquisicao direta",PartExt*(1+CAGR_M)^A151,B151*PartExt*(1+CAGR_M)^A151)</f>
        <v/>
      </c>
      <c r="E151" s="59">
        <f>baseCDI*(1+CDI_M)^A151</f>
        <v/>
      </c>
    </row>
    <row r="152">
      <c r="A152" t="n">
        <v>137</v>
      </c>
      <c r="B152" s="60">
        <f>IF(Vest_Tipo="Unico ao final",IF(A152&gt;=Vest_Total,1,0),IF(A152&lt;Cliff,0,IF(A152&gt;=Vest_Total,1,IF(AND(Cliff&gt;0,Vest_Total&gt;Cliff),(Cliff_Pct/100)+(1-(Cliff_Pct/100))*((A152-Cliff)/(Vest_Total-Cliff)),(Cliff_Pct/100)))))</f>
        <v/>
      </c>
      <c r="C152" s="59">
        <f>IF(Modalidade="Aquisicao direta",IF(A152&lt;Lockup_Aq,custoAq*(1+CDI_M)^A152,PartInt*(1+CAGR_M)^A152),IF(A152&lt;Vest_Total,B152*PartInt*(1+CAGR_M)^A152,IF(A152&lt;Vest_Total+Lockup_Vest,(PartInt*(1+CAGR_M)^Vest_Total)*(1+CDI_M)^(A152-Vest_Total),PartInt*(1+CAGR_M)^A152)))</f>
        <v/>
      </c>
      <c r="D152" s="59">
        <f>IF(Modalidade="Aquisicao direta",PartExt*(1+CAGR_M)^A152,B152*PartExt*(1+CAGR_M)^A152)</f>
        <v/>
      </c>
      <c r="E152" s="59">
        <f>baseCDI*(1+CDI_M)^A152</f>
        <v/>
      </c>
    </row>
    <row r="153">
      <c r="A153" t="n">
        <v>138</v>
      </c>
      <c r="B153" s="60">
        <f>IF(Vest_Tipo="Unico ao final",IF(A153&gt;=Vest_Total,1,0),IF(A153&lt;Cliff,0,IF(A153&gt;=Vest_Total,1,IF(AND(Cliff&gt;0,Vest_Total&gt;Cliff),(Cliff_Pct/100)+(1-(Cliff_Pct/100))*((A153-Cliff)/(Vest_Total-Cliff)),(Cliff_Pct/100)))))</f>
        <v/>
      </c>
      <c r="C153" s="59">
        <f>IF(Modalidade="Aquisicao direta",IF(A153&lt;Lockup_Aq,custoAq*(1+CDI_M)^A153,PartInt*(1+CAGR_M)^A153),IF(A153&lt;Vest_Total,B153*PartInt*(1+CAGR_M)^A153,IF(A153&lt;Vest_Total+Lockup_Vest,(PartInt*(1+CAGR_M)^Vest_Total)*(1+CDI_M)^(A153-Vest_Total),PartInt*(1+CAGR_M)^A153)))</f>
        <v/>
      </c>
      <c r="D153" s="59">
        <f>IF(Modalidade="Aquisicao direta",PartExt*(1+CAGR_M)^A153,B153*PartExt*(1+CAGR_M)^A153)</f>
        <v/>
      </c>
      <c r="E153" s="59">
        <f>baseCDI*(1+CDI_M)^A153</f>
        <v/>
      </c>
    </row>
    <row r="154">
      <c r="A154" t="n">
        <v>139</v>
      </c>
      <c r="B154" s="60">
        <f>IF(Vest_Tipo="Unico ao final",IF(A154&gt;=Vest_Total,1,0),IF(A154&lt;Cliff,0,IF(A154&gt;=Vest_Total,1,IF(AND(Cliff&gt;0,Vest_Total&gt;Cliff),(Cliff_Pct/100)+(1-(Cliff_Pct/100))*((A154-Cliff)/(Vest_Total-Cliff)),(Cliff_Pct/100)))))</f>
        <v/>
      </c>
      <c r="C154" s="59">
        <f>IF(Modalidade="Aquisicao direta",IF(A154&lt;Lockup_Aq,custoAq*(1+CDI_M)^A154,PartInt*(1+CAGR_M)^A154),IF(A154&lt;Vest_Total,B154*PartInt*(1+CAGR_M)^A154,IF(A154&lt;Vest_Total+Lockup_Vest,(PartInt*(1+CAGR_M)^Vest_Total)*(1+CDI_M)^(A154-Vest_Total),PartInt*(1+CAGR_M)^A154)))</f>
        <v/>
      </c>
      <c r="D154" s="59">
        <f>IF(Modalidade="Aquisicao direta",PartExt*(1+CAGR_M)^A154,B154*PartExt*(1+CAGR_M)^A154)</f>
        <v/>
      </c>
      <c r="E154" s="59">
        <f>baseCDI*(1+CDI_M)^A154</f>
        <v/>
      </c>
    </row>
    <row r="155">
      <c r="A155" t="n">
        <v>140</v>
      </c>
      <c r="B155" s="60">
        <f>IF(Vest_Tipo="Unico ao final",IF(A155&gt;=Vest_Total,1,0),IF(A155&lt;Cliff,0,IF(A155&gt;=Vest_Total,1,IF(AND(Cliff&gt;0,Vest_Total&gt;Cliff),(Cliff_Pct/100)+(1-(Cliff_Pct/100))*((A155-Cliff)/(Vest_Total-Cliff)),(Cliff_Pct/100)))))</f>
        <v/>
      </c>
      <c r="C155" s="59">
        <f>IF(Modalidade="Aquisicao direta",IF(A155&lt;Lockup_Aq,custoAq*(1+CDI_M)^A155,PartInt*(1+CAGR_M)^A155),IF(A155&lt;Vest_Total,B155*PartInt*(1+CAGR_M)^A155,IF(A155&lt;Vest_Total+Lockup_Vest,(PartInt*(1+CAGR_M)^Vest_Total)*(1+CDI_M)^(A155-Vest_Total),PartInt*(1+CAGR_M)^A155)))</f>
        <v/>
      </c>
      <c r="D155" s="59">
        <f>IF(Modalidade="Aquisicao direta",PartExt*(1+CAGR_M)^A155,B155*PartExt*(1+CAGR_M)^A155)</f>
        <v/>
      </c>
      <c r="E155" s="59">
        <f>baseCDI*(1+CDI_M)^A155</f>
        <v/>
      </c>
    </row>
    <row r="156">
      <c r="A156" t="n">
        <v>141</v>
      </c>
      <c r="B156" s="60">
        <f>IF(Vest_Tipo="Unico ao final",IF(A156&gt;=Vest_Total,1,0),IF(A156&lt;Cliff,0,IF(A156&gt;=Vest_Total,1,IF(AND(Cliff&gt;0,Vest_Total&gt;Cliff),(Cliff_Pct/100)+(1-(Cliff_Pct/100))*((A156-Cliff)/(Vest_Total-Cliff)),(Cliff_Pct/100)))))</f>
        <v/>
      </c>
      <c r="C156" s="59">
        <f>IF(Modalidade="Aquisicao direta",IF(A156&lt;Lockup_Aq,custoAq*(1+CDI_M)^A156,PartInt*(1+CAGR_M)^A156),IF(A156&lt;Vest_Total,B156*PartInt*(1+CAGR_M)^A156,IF(A156&lt;Vest_Total+Lockup_Vest,(PartInt*(1+CAGR_M)^Vest_Total)*(1+CDI_M)^(A156-Vest_Total),PartInt*(1+CAGR_M)^A156)))</f>
        <v/>
      </c>
      <c r="D156" s="59">
        <f>IF(Modalidade="Aquisicao direta",PartExt*(1+CAGR_M)^A156,B156*PartExt*(1+CAGR_M)^A156)</f>
        <v/>
      </c>
      <c r="E156" s="59">
        <f>baseCDI*(1+CDI_M)^A156</f>
        <v/>
      </c>
    </row>
    <row r="157">
      <c r="A157" t="n">
        <v>142</v>
      </c>
      <c r="B157" s="60">
        <f>IF(Vest_Tipo="Unico ao final",IF(A157&gt;=Vest_Total,1,0),IF(A157&lt;Cliff,0,IF(A157&gt;=Vest_Total,1,IF(AND(Cliff&gt;0,Vest_Total&gt;Cliff),(Cliff_Pct/100)+(1-(Cliff_Pct/100))*((A157-Cliff)/(Vest_Total-Cliff)),(Cliff_Pct/100)))))</f>
        <v/>
      </c>
      <c r="C157" s="59">
        <f>IF(Modalidade="Aquisicao direta",IF(A157&lt;Lockup_Aq,custoAq*(1+CDI_M)^A157,PartInt*(1+CAGR_M)^A157),IF(A157&lt;Vest_Total,B157*PartInt*(1+CAGR_M)^A157,IF(A157&lt;Vest_Total+Lockup_Vest,(PartInt*(1+CAGR_M)^Vest_Total)*(1+CDI_M)^(A157-Vest_Total),PartInt*(1+CAGR_M)^A157)))</f>
        <v/>
      </c>
      <c r="D157" s="59">
        <f>IF(Modalidade="Aquisicao direta",PartExt*(1+CAGR_M)^A157,B157*PartExt*(1+CAGR_M)^A157)</f>
        <v/>
      </c>
      <c r="E157" s="59">
        <f>baseCDI*(1+CDI_M)^A157</f>
        <v/>
      </c>
    </row>
    <row r="158">
      <c r="A158" t="n">
        <v>143</v>
      </c>
      <c r="B158" s="60">
        <f>IF(Vest_Tipo="Unico ao final",IF(A158&gt;=Vest_Total,1,0),IF(A158&lt;Cliff,0,IF(A158&gt;=Vest_Total,1,IF(AND(Cliff&gt;0,Vest_Total&gt;Cliff),(Cliff_Pct/100)+(1-(Cliff_Pct/100))*((A158-Cliff)/(Vest_Total-Cliff)),(Cliff_Pct/100)))))</f>
        <v/>
      </c>
      <c r="C158" s="59">
        <f>IF(Modalidade="Aquisicao direta",IF(A158&lt;Lockup_Aq,custoAq*(1+CDI_M)^A158,PartInt*(1+CAGR_M)^A158),IF(A158&lt;Vest_Total,B158*PartInt*(1+CAGR_M)^A158,IF(A158&lt;Vest_Total+Lockup_Vest,(PartInt*(1+CAGR_M)^Vest_Total)*(1+CDI_M)^(A158-Vest_Total),PartInt*(1+CAGR_M)^A158)))</f>
        <v/>
      </c>
      <c r="D158" s="59">
        <f>IF(Modalidade="Aquisicao direta",PartExt*(1+CAGR_M)^A158,B158*PartExt*(1+CAGR_M)^A158)</f>
        <v/>
      </c>
      <c r="E158" s="59">
        <f>baseCDI*(1+CDI_M)^A158</f>
        <v/>
      </c>
    </row>
    <row r="159">
      <c r="A159" t="n">
        <v>144</v>
      </c>
      <c r="B159" s="60">
        <f>IF(Vest_Tipo="Unico ao final",IF(A159&gt;=Vest_Total,1,0),IF(A159&lt;Cliff,0,IF(A159&gt;=Vest_Total,1,IF(AND(Cliff&gt;0,Vest_Total&gt;Cliff),(Cliff_Pct/100)+(1-(Cliff_Pct/100))*((A159-Cliff)/(Vest_Total-Cliff)),(Cliff_Pct/100)))))</f>
        <v/>
      </c>
      <c r="C159" s="59">
        <f>IF(Modalidade="Aquisicao direta",IF(A159&lt;Lockup_Aq,custoAq*(1+CDI_M)^A159,PartInt*(1+CAGR_M)^A159),IF(A159&lt;Vest_Total,B159*PartInt*(1+CAGR_M)^A159,IF(A159&lt;Vest_Total+Lockup_Vest,(PartInt*(1+CAGR_M)^Vest_Total)*(1+CDI_M)^(A159-Vest_Total),PartInt*(1+CAGR_M)^A159)))</f>
        <v/>
      </c>
      <c r="D159" s="59">
        <f>IF(Modalidade="Aquisicao direta",PartExt*(1+CAGR_M)^A159,B159*PartExt*(1+CAGR_M)^A159)</f>
        <v/>
      </c>
      <c r="E159" s="59">
        <f>baseCDI*(1+CDI_M)^A159</f>
        <v/>
      </c>
    </row>
    <row r="160">
      <c r="A160" t="n">
        <v>145</v>
      </c>
      <c r="B160" s="60">
        <f>IF(Vest_Tipo="Unico ao final",IF(A160&gt;=Vest_Total,1,0),IF(A160&lt;Cliff,0,IF(A160&gt;=Vest_Total,1,IF(AND(Cliff&gt;0,Vest_Total&gt;Cliff),(Cliff_Pct/100)+(1-(Cliff_Pct/100))*((A160-Cliff)/(Vest_Total-Cliff)),(Cliff_Pct/100)))))</f>
        <v/>
      </c>
      <c r="C160" s="59">
        <f>IF(Modalidade="Aquisicao direta",IF(A160&lt;Lockup_Aq,custoAq*(1+CDI_M)^A160,PartInt*(1+CAGR_M)^A160),IF(A160&lt;Vest_Total,B160*PartInt*(1+CAGR_M)^A160,IF(A160&lt;Vest_Total+Lockup_Vest,(PartInt*(1+CAGR_M)^Vest_Total)*(1+CDI_M)^(A160-Vest_Total),PartInt*(1+CAGR_M)^A160)))</f>
        <v/>
      </c>
      <c r="D160" s="59">
        <f>IF(Modalidade="Aquisicao direta",PartExt*(1+CAGR_M)^A160,B160*PartExt*(1+CAGR_M)^A160)</f>
        <v/>
      </c>
      <c r="E160" s="59">
        <f>baseCDI*(1+CDI_M)^A160</f>
        <v/>
      </c>
    </row>
    <row r="161">
      <c r="A161" t="n">
        <v>146</v>
      </c>
      <c r="B161" s="60">
        <f>IF(Vest_Tipo="Unico ao final",IF(A161&gt;=Vest_Total,1,0),IF(A161&lt;Cliff,0,IF(A161&gt;=Vest_Total,1,IF(AND(Cliff&gt;0,Vest_Total&gt;Cliff),(Cliff_Pct/100)+(1-(Cliff_Pct/100))*((A161-Cliff)/(Vest_Total-Cliff)),(Cliff_Pct/100)))))</f>
        <v/>
      </c>
      <c r="C161" s="59">
        <f>IF(Modalidade="Aquisicao direta",IF(A161&lt;Lockup_Aq,custoAq*(1+CDI_M)^A161,PartInt*(1+CAGR_M)^A161),IF(A161&lt;Vest_Total,B161*PartInt*(1+CAGR_M)^A161,IF(A161&lt;Vest_Total+Lockup_Vest,(PartInt*(1+CAGR_M)^Vest_Total)*(1+CDI_M)^(A161-Vest_Total),PartInt*(1+CAGR_M)^A161)))</f>
        <v/>
      </c>
      <c r="D161" s="59">
        <f>IF(Modalidade="Aquisicao direta",PartExt*(1+CAGR_M)^A161,B161*PartExt*(1+CAGR_M)^A161)</f>
        <v/>
      </c>
      <c r="E161" s="59">
        <f>baseCDI*(1+CDI_M)^A161</f>
        <v/>
      </c>
    </row>
    <row r="162">
      <c r="A162" t="n">
        <v>147</v>
      </c>
      <c r="B162" s="60">
        <f>IF(Vest_Tipo="Unico ao final",IF(A162&gt;=Vest_Total,1,0),IF(A162&lt;Cliff,0,IF(A162&gt;=Vest_Total,1,IF(AND(Cliff&gt;0,Vest_Total&gt;Cliff),(Cliff_Pct/100)+(1-(Cliff_Pct/100))*((A162-Cliff)/(Vest_Total-Cliff)),(Cliff_Pct/100)))))</f>
        <v/>
      </c>
      <c r="C162" s="59">
        <f>IF(Modalidade="Aquisicao direta",IF(A162&lt;Lockup_Aq,custoAq*(1+CDI_M)^A162,PartInt*(1+CAGR_M)^A162),IF(A162&lt;Vest_Total,B162*PartInt*(1+CAGR_M)^A162,IF(A162&lt;Vest_Total+Lockup_Vest,(PartInt*(1+CAGR_M)^Vest_Total)*(1+CDI_M)^(A162-Vest_Total),PartInt*(1+CAGR_M)^A162)))</f>
        <v/>
      </c>
      <c r="D162" s="59">
        <f>IF(Modalidade="Aquisicao direta",PartExt*(1+CAGR_M)^A162,B162*PartExt*(1+CAGR_M)^A162)</f>
        <v/>
      </c>
      <c r="E162" s="59">
        <f>baseCDI*(1+CDI_M)^A162</f>
        <v/>
      </c>
    </row>
    <row r="163">
      <c r="A163" t="n">
        <v>148</v>
      </c>
      <c r="B163" s="60">
        <f>IF(Vest_Tipo="Unico ao final",IF(A163&gt;=Vest_Total,1,0),IF(A163&lt;Cliff,0,IF(A163&gt;=Vest_Total,1,IF(AND(Cliff&gt;0,Vest_Total&gt;Cliff),(Cliff_Pct/100)+(1-(Cliff_Pct/100))*((A163-Cliff)/(Vest_Total-Cliff)),(Cliff_Pct/100)))))</f>
        <v/>
      </c>
      <c r="C163" s="59">
        <f>IF(Modalidade="Aquisicao direta",IF(A163&lt;Lockup_Aq,custoAq*(1+CDI_M)^A163,PartInt*(1+CAGR_M)^A163),IF(A163&lt;Vest_Total,B163*PartInt*(1+CAGR_M)^A163,IF(A163&lt;Vest_Total+Lockup_Vest,(PartInt*(1+CAGR_M)^Vest_Total)*(1+CDI_M)^(A163-Vest_Total),PartInt*(1+CAGR_M)^A163)))</f>
        <v/>
      </c>
      <c r="D163" s="59">
        <f>IF(Modalidade="Aquisicao direta",PartExt*(1+CAGR_M)^A163,B163*PartExt*(1+CAGR_M)^A163)</f>
        <v/>
      </c>
      <c r="E163" s="59">
        <f>baseCDI*(1+CDI_M)^A163</f>
        <v/>
      </c>
    </row>
    <row r="164">
      <c r="A164" t="n">
        <v>149</v>
      </c>
      <c r="B164" s="60">
        <f>IF(Vest_Tipo="Unico ao final",IF(A164&gt;=Vest_Total,1,0),IF(A164&lt;Cliff,0,IF(A164&gt;=Vest_Total,1,IF(AND(Cliff&gt;0,Vest_Total&gt;Cliff),(Cliff_Pct/100)+(1-(Cliff_Pct/100))*((A164-Cliff)/(Vest_Total-Cliff)),(Cliff_Pct/100)))))</f>
        <v/>
      </c>
      <c r="C164" s="59">
        <f>IF(Modalidade="Aquisicao direta",IF(A164&lt;Lockup_Aq,custoAq*(1+CDI_M)^A164,PartInt*(1+CAGR_M)^A164),IF(A164&lt;Vest_Total,B164*PartInt*(1+CAGR_M)^A164,IF(A164&lt;Vest_Total+Lockup_Vest,(PartInt*(1+CAGR_M)^Vest_Total)*(1+CDI_M)^(A164-Vest_Total),PartInt*(1+CAGR_M)^A164)))</f>
        <v/>
      </c>
      <c r="D164" s="59">
        <f>IF(Modalidade="Aquisicao direta",PartExt*(1+CAGR_M)^A164,B164*PartExt*(1+CAGR_M)^A164)</f>
        <v/>
      </c>
      <c r="E164" s="59">
        <f>baseCDI*(1+CDI_M)^A164</f>
        <v/>
      </c>
    </row>
    <row r="165">
      <c r="A165" t="n">
        <v>150</v>
      </c>
      <c r="B165" s="60">
        <f>IF(Vest_Tipo="Unico ao final",IF(A165&gt;=Vest_Total,1,0),IF(A165&lt;Cliff,0,IF(A165&gt;=Vest_Total,1,IF(AND(Cliff&gt;0,Vest_Total&gt;Cliff),(Cliff_Pct/100)+(1-(Cliff_Pct/100))*((A165-Cliff)/(Vest_Total-Cliff)),(Cliff_Pct/100)))))</f>
        <v/>
      </c>
      <c r="C165" s="59">
        <f>IF(Modalidade="Aquisicao direta",IF(A165&lt;Lockup_Aq,custoAq*(1+CDI_M)^A165,PartInt*(1+CAGR_M)^A165),IF(A165&lt;Vest_Total,B165*PartInt*(1+CAGR_M)^A165,IF(A165&lt;Vest_Total+Lockup_Vest,(PartInt*(1+CAGR_M)^Vest_Total)*(1+CDI_M)^(A165-Vest_Total),PartInt*(1+CAGR_M)^A165)))</f>
        <v/>
      </c>
      <c r="D165" s="59">
        <f>IF(Modalidade="Aquisicao direta",PartExt*(1+CAGR_M)^A165,B165*PartExt*(1+CAGR_M)^A165)</f>
        <v/>
      </c>
      <c r="E165" s="59">
        <f>baseCDI*(1+CDI_M)^A165</f>
        <v/>
      </c>
    </row>
    <row r="166">
      <c r="A166" t="n">
        <v>151</v>
      </c>
      <c r="B166" s="60">
        <f>IF(Vest_Tipo="Unico ao final",IF(A166&gt;=Vest_Total,1,0),IF(A166&lt;Cliff,0,IF(A166&gt;=Vest_Total,1,IF(AND(Cliff&gt;0,Vest_Total&gt;Cliff),(Cliff_Pct/100)+(1-(Cliff_Pct/100))*((A166-Cliff)/(Vest_Total-Cliff)),(Cliff_Pct/100)))))</f>
        <v/>
      </c>
      <c r="C166" s="59">
        <f>IF(Modalidade="Aquisicao direta",IF(A166&lt;Lockup_Aq,custoAq*(1+CDI_M)^A166,PartInt*(1+CAGR_M)^A166),IF(A166&lt;Vest_Total,B166*PartInt*(1+CAGR_M)^A166,IF(A166&lt;Vest_Total+Lockup_Vest,(PartInt*(1+CAGR_M)^Vest_Total)*(1+CDI_M)^(A166-Vest_Total),PartInt*(1+CAGR_M)^A166)))</f>
        <v/>
      </c>
      <c r="D166" s="59">
        <f>IF(Modalidade="Aquisicao direta",PartExt*(1+CAGR_M)^A166,B166*PartExt*(1+CAGR_M)^A166)</f>
        <v/>
      </c>
      <c r="E166" s="59">
        <f>baseCDI*(1+CDI_M)^A166</f>
        <v/>
      </c>
    </row>
    <row r="167">
      <c r="A167" t="n">
        <v>152</v>
      </c>
      <c r="B167" s="60">
        <f>IF(Vest_Tipo="Unico ao final",IF(A167&gt;=Vest_Total,1,0),IF(A167&lt;Cliff,0,IF(A167&gt;=Vest_Total,1,IF(AND(Cliff&gt;0,Vest_Total&gt;Cliff),(Cliff_Pct/100)+(1-(Cliff_Pct/100))*((A167-Cliff)/(Vest_Total-Cliff)),(Cliff_Pct/100)))))</f>
        <v/>
      </c>
      <c r="C167" s="59">
        <f>IF(Modalidade="Aquisicao direta",IF(A167&lt;Lockup_Aq,custoAq*(1+CDI_M)^A167,PartInt*(1+CAGR_M)^A167),IF(A167&lt;Vest_Total,B167*PartInt*(1+CAGR_M)^A167,IF(A167&lt;Vest_Total+Lockup_Vest,(PartInt*(1+CAGR_M)^Vest_Total)*(1+CDI_M)^(A167-Vest_Total),PartInt*(1+CAGR_M)^A167)))</f>
        <v/>
      </c>
      <c r="D167" s="59">
        <f>IF(Modalidade="Aquisicao direta",PartExt*(1+CAGR_M)^A167,B167*PartExt*(1+CAGR_M)^A167)</f>
        <v/>
      </c>
      <c r="E167" s="59">
        <f>baseCDI*(1+CDI_M)^A167</f>
        <v/>
      </c>
    </row>
    <row r="168">
      <c r="A168" t="n">
        <v>153</v>
      </c>
      <c r="B168" s="60">
        <f>IF(Vest_Tipo="Unico ao final",IF(A168&gt;=Vest_Total,1,0),IF(A168&lt;Cliff,0,IF(A168&gt;=Vest_Total,1,IF(AND(Cliff&gt;0,Vest_Total&gt;Cliff),(Cliff_Pct/100)+(1-(Cliff_Pct/100))*((A168-Cliff)/(Vest_Total-Cliff)),(Cliff_Pct/100)))))</f>
        <v/>
      </c>
      <c r="C168" s="59">
        <f>IF(Modalidade="Aquisicao direta",IF(A168&lt;Lockup_Aq,custoAq*(1+CDI_M)^A168,PartInt*(1+CAGR_M)^A168),IF(A168&lt;Vest_Total,B168*PartInt*(1+CAGR_M)^A168,IF(A168&lt;Vest_Total+Lockup_Vest,(PartInt*(1+CAGR_M)^Vest_Total)*(1+CDI_M)^(A168-Vest_Total),PartInt*(1+CAGR_M)^A168)))</f>
        <v/>
      </c>
      <c r="D168" s="59">
        <f>IF(Modalidade="Aquisicao direta",PartExt*(1+CAGR_M)^A168,B168*PartExt*(1+CAGR_M)^A168)</f>
        <v/>
      </c>
      <c r="E168" s="59">
        <f>baseCDI*(1+CDI_M)^A168</f>
        <v/>
      </c>
    </row>
    <row r="169">
      <c r="A169" t="n">
        <v>154</v>
      </c>
      <c r="B169" s="60">
        <f>IF(Vest_Tipo="Unico ao final",IF(A169&gt;=Vest_Total,1,0),IF(A169&lt;Cliff,0,IF(A169&gt;=Vest_Total,1,IF(AND(Cliff&gt;0,Vest_Total&gt;Cliff),(Cliff_Pct/100)+(1-(Cliff_Pct/100))*((A169-Cliff)/(Vest_Total-Cliff)),(Cliff_Pct/100)))))</f>
        <v/>
      </c>
      <c r="C169" s="59">
        <f>IF(Modalidade="Aquisicao direta",IF(A169&lt;Lockup_Aq,custoAq*(1+CDI_M)^A169,PartInt*(1+CAGR_M)^A169),IF(A169&lt;Vest_Total,B169*PartInt*(1+CAGR_M)^A169,IF(A169&lt;Vest_Total+Lockup_Vest,(PartInt*(1+CAGR_M)^Vest_Total)*(1+CDI_M)^(A169-Vest_Total),PartInt*(1+CAGR_M)^A169)))</f>
        <v/>
      </c>
      <c r="D169" s="59">
        <f>IF(Modalidade="Aquisicao direta",PartExt*(1+CAGR_M)^A169,B169*PartExt*(1+CAGR_M)^A169)</f>
        <v/>
      </c>
      <c r="E169" s="59">
        <f>baseCDI*(1+CDI_M)^A169</f>
        <v/>
      </c>
    </row>
    <row r="170">
      <c r="A170" t="n">
        <v>155</v>
      </c>
      <c r="B170" s="60">
        <f>IF(Vest_Tipo="Unico ao final",IF(A170&gt;=Vest_Total,1,0),IF(A170&lt;Cliff,0,IF(A170&gt;=Vest_Total,1,IF(AND(Cliff&gt;0,Vest_Total&gt;Cliff),(Cliff_Pct/100)+(1-(Cliff_Pct/100))*((A170-Cliff)/(Vest_Total-Cliff)),(Cliff_Pct/100)))))</f>
        <v/>
      </c>
      <c r="C170" s="59">
        <f>IF(Modalidade="Aquisicao direta",IF(A170&lt;Lockup_Aq,custoAq*(1+CDI_M)^A170,PartInt*(1+CAGR_M)^A170),IF(A170&lt;Vest_Total,B170*PartInt*(1+CAGR_M)^A170,IF(A170&lt;Vest_Total+Lockup_Vest,(PartInt*(1+CAGR_M)^Vest_Total)*(1+CDI_M)^(A170-Vest_Total),PartInt*(1+CAGR_M)^A170)))</f>
        <v/>
      </c>
      <c r="D170" s="59">
        <f>IF(Modalidade="Aquisicao direta",PartExt*(1+CAGR_M)^A170,B170*PartExt*(1+CAGR_M)^A170)</f>
        <v/>
      </c>
      <c r="E170" s="59">
        <f>baseCDI*(1+CDI_M)^A170</f>
        <v/>
      </c>
    </row>
    <row r="171">
      <c r="A171" t="n">
        <v>156</v>
      </c>
      <c r="B171" s="60">
        <f>IF(Vest_Tipo="Unico ao final",IF(A171&gt;=Vest_Total,1,0),IF(A171&lt;Cliff,0,IF(A171&gt;=Vest_Total,1,IF(AND(Cliff&gt;0,Vest_Total&gt;Cliff),(Cliff_Pct/100)+(1-(Cliff_Pct/100))*((A171-Cliff)/(Vest_Total-Cliff)),(Cliff_Pct/100)))))</f>
        <v/>
      </c>
      <c r="C171" s="59">
        <f>IF(Modalidade="Aquisicao direta",IF(A171&lt;Lockup_Aq,custoAq*(1+CDI_M)^A171,PartInt*(1+CAGR_M)^A171),IF(A171&lt;Vest_Total,B171*PartInt*(1+CAGR_M)^A171,IF(A171&lt;Vest_Total+Lockup_Vest,(PartInt*(1+CAGR_M)^Vest_Total)*(1+CDI_M)^(A171-Vest_Total),PartInt*(1+CAGR_M)^A171)))</f>
        <v/>
      </c>
      <c r="D171" s="59">
        <f>IF(Modalidade="Aquisicao direta",PartExt*(1+CAGR_M)^A171,B171*PartExt*(1+CAGR_M)^A171)</f>
        <v/>
      </c>
      <c r="E171" s="59">
        <f>baseCDI*(1+CDI_M)^A171</f>
        <v/>
      </c>
    </row>
    <row r="172">
      <c r="A172" t="n">
        <v>157</v>
      </c>
      <c r="B172" s="60">
        <f>IF(Vest_Tipo="Unico ao final",IF(A172&gt;=Vest_Total,1,0),IF(A172&lt;Cliff,0,IF(A172&gt;=Vest_Total,1,IF(AND(Cliff&gt;0,Vest_Total&gt;Cliff),(Cliff_Pct/100)+(1-(Cliff_Pct/100))*((A172-Cliff)/(Vest_Total-Cliff)),(Cliff_Pct/100)))))</f>
        <v/>
      </c>
      <c r="C172" s="59">
        <f>IF(Modalidade="Aquisicao direta",IF(A172&lt;Lockup_Aq,custoAq*(1+CDI_M)^A172,PartInt*(1+CAGR_M)^A172),IF(A172&lt;Vest_Total,B172*PartInt*(1+CAGR_M)^A172,IF(A172&lt;Vest_Total+Lockup_Vest,(PartInt*(1+CAGR_M)^Vest_Total)*(1+CDI_M)^(A172-Vest_Total),PartInt*(1+CAGR_M)^A172)))</f>
        <v/>
      </c>
      <c r="D172" s="59">
        <f>IF(Modalidade="Aquisicao direta",PartExt*(1+CAGR_M)^A172,B172*PartExt*(1+CAGR_M)^A172)</f>
        <v/>
      </c>
      <c r="E172" s="59">
        <f>baseCDI*(1+CDI_M)^A172</f>
        <v/>
      </c>
    </row>
    <row r="173">
      <c r="A173" t="n">
        <v>158</v>
      </c>
      <c r="B173" s="60">
        <f>IF(Vest_Tipo="Unico ao final",IF(A173&gt;=Vest_Total,1,0),IF(A173&lt;Cliff,0,IF(A173&gt;=Vest_Total,1,IF(AND(Cliff&gt;0,Vest_Total&gt;Cliff),(Cliff_Pct/100)+(1-(Cliff_Pct/100))*((A173-Cliff)/(Vest_Total-Cliff)),(Cliff_Pct/100)))))</f>
        <v/>
      </c>
      <c r="C173" s="59">
        <f>IF(Modalidade="Aquisicao direta",IF(A173&lt;Lockup_Aq,custoAq*(1+CDI_M)^A173,PartInt*(1+CAGR_M)^A173),IF(A173&lt;Vest_Total,B173*PartInt*(1+CAGR_M)^A173,IF(A173&lt;Vest_Total+Lockup_Vest,(PartInt*(1+CAGR_M)^Vest_Total)*(1+CDI_M)^(A173-Vest_Total),PartInt*(1+CAGR_M)^A173)))</f>
        <v/>
      </c>
      <c r="D173" s="59">
        <f>IF(Modalidade="Aquisicao direta",PartExt*(1+CAGR_M)^A173,B173*PartExt*(1+CAGR_M)^A173)</f>
        <v/>
      </c>
      <c r="E173" s="59">
        <f>baseCDI*(1+CDI_M)^A173</f>
        <v/>
      </c>
    </row>
    <row r="174">
      <c r="A174" t="n">
        <v>159</v>
      </c>
      <c r="B174" s="60">
        <f>IF(Vest_Tipo="Unico ao final",IF(A174&gt;=Vest_Total,1,0),IF(A174&lt;Cliff,0,IF(A174&gt;=Vest_Total,1,IF(AND(Cliff&gt;0,Vest_Total&gt;Cliff),(Cliff_Pct/100)+(1-(Cliff_Pct/100))*((A174-Cliff)/(Vest_Total-Cliff)),(Cliff_Pct/100)))))</f>
        <v/>
      </c>
      <c r="C174" s="59">
        <f>IF(Modalidade="Aquisicao direta",IF(A174&lt;Lockup_Aq,custoAq*(1+CDI_M)^A174,PartInt*(1+CAGR_M)^A174),IF(A174&lt;Vest_Total,B174*PartInt*(1+CAGR_M)^A174,IF(A174&lt;Vest_Total+Lockup_Vest,(PartInt*(1+CAGR_M)^Vest_Total)*(1+CDI_M)^(A174-Vest_Total),PartInt*(1+CAGR_M)^A174)))</f>
        <v/>
      </c>
      <c r="D174" s="59">
        <f>IF(Modalidade="Aquisicao direta",PartExt*(1+CAGR_M)^A174,B174*PartExt*(1+CAGR_M)^A174)</f>
        <v/>
      </c>
      <c r="E174" s="59">
        <f>baseCDI*(1+CDI_M)^A174</f>
        <v/>
      </c>
    </row>
    <row r="175">
      <c r="A175" t="n">
        <v>160</v>
      </c>
      <c r="B175" s="60">
        <f>IF(Vest_Tipo="Unico ao final",IF(A175&gt;=Vest_Total,1,0),IF(A175&lt;Cliff,0,IF(A175&gt;=Vest_Total,1,IF(AND(Cliff&gt;0,Vest_Total&gt;Cliff),(Cliff_Pct/100)+(1-(Cliff_Pct/100))*((A175-Cliff)/(Vest_Total-Cliff)),(Cliff_Pct/100)))))</f>
        <v/>
      </c>
      <c r="C175" s="59">
        <f>IF(Modalidade="Aquisicao direta",IF(A175&lt;Lockup_Aq,custoAq*(1+CDI_M)^A175,PartInt*(1+CAGR_M)^A175),IF(A175&lt;Vest_Total,B175*PartInt*(1+CAGR_M)^A175,IF(A175&lt;Vest_Total+Lockup_Vest,(PartInt*(1+CAGR_M)^Vest_Total)*(1+CDI_M)^(A175-Vest_Total),PartInt*(1+CAGR_M)^A175)))</f>
        <v/>
      </c>
      <c r="D175" s="59">
        <f>IF(Modalidade="Aquisicao direta",PartExt*(1+CAGR_M)^A175,B175*PartExt*(1+CAGR_M)^A175)</f>
        <v/>
      </c>
      <c r="E175" s="59">
        <f>baseCDI*(1+CDI_M)^A175</f>
        <v/>
      </c>
    </row>
    <row r="176">
      <c r="A176" t="n">
        <v>161</v>
      </c>
      <c r="B176" s="60">
        <f>IF(Vest_Tipo="Unico ao final",IF(A176&gt;=Vest_Total,1,0),IF(A176&lt;Cliff,0,IF(A176&gt;=Vest_Total,1,IF(AND(Cliff&gt;0,Vest_Total&gt;Cliff),(Cliff_Pct/100)+(1-(Cliff_Pct/100))*((A176-Cliff)/(Vest_Total-Cliff)),(Cliff_Pct/100)))))</f>
        <v/>
      </c>
      <c r="C176" s="59">
        <f>IF(Modalidade="Aquisicao direta",IF(A176&lt;Lockup_Aq,custoAq*(1+CDI_M)^A176,PartInt*(1+CAGR_M)^A176),IF(A176&lt;Vest_Total,B176*PartInt*(1+CAGR_M)^A176,IF(A176&lt;Vest_Total+Lockup_Vest,(PartInt*(1+CAGR_M)^Vest_Total)*(1+CDI_M)^(A176-Vest_Total),PartInt*(1+CAGR_M)^A176)))</f>
        <v/>
      </c>
      <c r="D176" s="59">
        <f>IF(Modalidade="Aquisicao direta",PartExt*(1+CAGR_M)^A176,B176*PartExt*(1+CAGR_M)^A176)</f>
        <v/>
      </c>
      <c r="E176" s="59">
        <f>baseCDI*(1+CDI_M)^A176</f>
        <v/>
      </c>
    </row>
    <row r="177">
      <c r="A177" t="n">
        <v>162</v>
      </c>
      <c r="B177" s="60">
        <f>IF(Vest_Tipo="Unico ao final",IF(A177&gt;=Vest_Total,1,0),IF(A177&lt;Cliff,0,IF(A177&gt;=Vest_Total,1,IF(AND(Cliff&gt;0,Vest_Total&gt;Cliff),(Cliff_Pct/100)+(1-(Cliff_Pct/100))*((A177-Cliff)/(Vest_Total-Cliff)),(Cliff_Pct/100)))))</f>
        <v/>
      </c>
      <c r="C177" s="59">
        <f>IF(Modalidade="Aquisicao direta",IF(A177&lt;Lockup_Aq,custoAq*(1+CDI_M)^A177,PartInt*(1+CAGR_M)^A177),IF(A177&lt;Vest_Total,B177*PartInt*(1+CAGR_M)^A177,IF(A177&lt;Vest_Total+Lockup_Vest,(PartInt*(1+CAGR_M)^Vest_Total)*(1+CDI_M)^(A177-Vest_Total),PartInt*(1+CAGR_M)^A177)))</f>
        <v/>
      </c>
      <c r="D177" s="59">
        <f>IF(Modalidade="Aquisicao direta",PartExt*(1+CAGR_M)^A177,B177*PartExt*(1+CAGR_M)^A177)</f>
        <v/>
      </c>
      <c r="E177" s="59">
        <f>baseCDI*(1+CDI_M)^A177</f>
        <v/>
      </c>
    </row>
    <row r="178">
      <c r="A178" t="n">
        <v>163</v>
      </c>
      <c r="B178" s="60">
        <f>IF(Vest_Tipo="Unico ao final",IF(A178&gt;=Vest_Total,1,0),IF(A178&lt;Cliff,0,IF(A178&gt;=Vest_Total,1,IF(AND(Cliff&gt;0,Vest_Total&gt;Cliff),(Cliff_Pct/100)+(1-(Cliff_Pct/100))*((A178-Cliff)/(Vest_Total-Cliff)),(Cliff_Pct/100)))))</f>
        <v/>
      </c>
      <c r="C178" s="59">
        <f>IF(Modalidade="Aquisicao direta",IF(A178&lt;Lockup_Aq,custoAq*(1+CDI_M)^A178,PartInt*(1+CAGR_M)^A178),IF(A178&lt;Vest_Total,B178*PartInt*(1+CAGR_M)^A178,IF(A178&lt;Vest_Total+Lockup_Vest,(PartInt*(1+CAGR_M)^Vest_Total)*(1+CDI_M)^(A178-Vest_Total),PartInt*(1+CAGR_M)^A178)))</f>
        <v/>
      </c>
      <c r="D178" s="59">
        <f>IF(Modalidade="Aquisicao direta",PartExt*(1+CAGR_M)^A178,B178*PartExt*(1+CAGR_M)^A178)</f>
        <v/>
      </c>
      <c r="E178" s="59">
        <f>baseCDI*(1+CDI_M)^A178</f>
        <v/>
      </c>
    </row>
    <row r="179">
      <c r="A179" t="n">
        <v>164</v>
      </c>
      <c r="B179" s="60">
        <f>IF(Vest_Tipo="Unico ao final",IF(A179&gt;=Vest_Total,1,0),IF(A179&lt;Cliff,0,IF(A179&gt;=Vest_Total,1,IF(AND(Cliff&gt;0,Vest_Total&gt;Cliff),(Cliff_Pct/100)+(1-(Cliff_Pct/100))*((A179-Cliff)/(Vest_Total-Cliff)),(Cliff_Pct/100)))))</f>
        <v/>
      </c>
      <c r="C179" s="59">
        <f>IF(Modalidade="Aquisicao direta",IF(A179&lt;Lockup_Aq,custoAq*(1+CDI_M)^A179,PartInt*(1+CAGR_M)^A179),IF(A179&lt;Vest_Total,B179*PartInt*(1+CAGR_M)^A179,IF(A179&lt;Vest_Total+Lockup_Vest,(PartInt*(1+CAGR_M)^Vest_Total)*(1+CDI_M)^(A179-Vest_Total),PartInt*(1+CAGR_M)^A179)))</f>
        <v/>
      </c>
      <c r="D179" s="59">
        <f>IF(Modalidade="Aquisicao direta",PartExt*(1+CAGR_M)^A179,B179*PartExt*(1+CAGR_M)^A179)</f>
        <v/>
      </c>
      <c r="E179" s="59">
        <f>baseCDI*(1+CDI_M)^A179</f>
        <v/>
      </c>
    </row>
    <row r="180">
      <c r="A180" t="n">
        <v>165</v>
      </c>
      <c r="B180" s="60">
        <f>IF(Vest_Tipo="Unico ao final",IF(A180&gt;=Vest_Total,1,0),IF(A180&lt;Cliff,0,IF(A180&gt;=Vest_Total,1,IF(AND(Cliff&gt;0,Vest_Total&gt;Cliff),(Cliff_Pct/100)+(1-(Cliff_Pct/100))*((A180-Cliff)/(Vest_Total-Cliff)),(Cliff_Pct/100)))))</f>
        <v/>
      </c>
      <c r="C180" s="59">
        <f>IF(Modalidade="Aquisicao direta",IF(A180&lt;Lockup_Aq,custoAq*(1+CDI_M)^A180,PartInt*(1+CAGR_M)^A180),IF(A180&lt;Vest_Total,B180*PartInt*(1+CAGR_M)^A180,IF(A180&lt;Vest_Total+Lockup_Vest,(PartInt*(1+CAGR_M)^Vest_Total)*(1+CDI_M)^(A180-Vest_Total),PartInt*(1+CAGR_M)^A180)))</f>
        <v/>
      </c>
      <c r="D180" s="59">
        <f>IF(Modalidade="Aquisicao direta",PartExt*(1+CAGR_M)^A180,B180*PartExt*(1+CAGR_M)^A180)</f>
        <v/>
      </c>
      <c r="E180" s="59">
        <f>baseCDI*(1+CDI_M)^A180</f>
        <v/>
      </c>
    </row>
    <row r="181">
      <c r="A181" t="n">
        <v>166</v>
      </c>
      <c r="B181" s="60">
        <f>IF(Vest_Tipo="Unico ao final",IF(A181&gt;=Vest_Total,1,0),IF(A181&lt;Cliff,0,IF(A181&gt;=Vest_Total,1,IF(AND(Cliff&gt;0,Vest_Total&gt;Cliff),(Cliff_Pct/100)+(1-(Cliff_Pct/100))*((A181-Cliff)/(Vest_Total-Cliff)),(Cliff_Pct/100)))))</f>
        <v/>
      </c>
      <c r="C181" s="59">
        <f>IF(Modalidade="Aquisicao direta",IF(A181&lt;Lockup_Aq,custoAq*(1+CDI_M)^A181,PartInt*(1+CAGR_M)^A181),IF(A181&lt;Vest_Total,B181*PartInt*(1+CAGR_M)^A181,IF(A181&lt;Vest_Total+Lockup_Vest,(PartInt*(1+CAGR_M)^Vest_Total)*(1+CDI_M)^(A181-Vest_Total),PartInt*(1+CAGR_M)^A181)))</f>
        <v/>
      </c>
      <c r="D181" s="59">
        <f>IF(Modalidade="Aquisicao direta",PartExt*(1+CAGR_M)^A181,B181*PartExt*(1+CAGR_M)^A181)</f>
        <v/>
      </c>
      <c r="E181" s="59">
        <f>baseCDI*(1+CDI_M)^A181</f>
        <v/>
      </c>
    </row>
    <row r="182">
      <c r="A182" t="n">
        <v>167</v>
      </c>
      <c r="B182" s="60">
        <f>IF(Vest_Tipo="Unico ao final",IF(A182&gt;=Vest_Total,1,0),IF(A182&lt;Cliff,0,IF(A182&gt;=Vest_Total,1,IF(AND(Cliff&gt;0,Vest_Total&gt;Cliff),(Cliff_Pct/100)+(1-(Cliff_Pct/100))*((A182-Cliff)/(Vest_Total-Cliff)),(Cliff_Pct/100)))))</f>
        <v/>
      </c>
      <c r="C182" s="59">
        <f>IF(Modalidade="Aquisicao direta",IF(A182&lt;Lockup_Aq,custoAq*(1+CDI_M)^A182,PartInt*(1+CAGR_M)^A182),IF(A182&lt;Vest_Total,B182*PartInt*(1+CAGR_M)^A182,IF(A182&lt;Vest_Total+Lockup_Vest,(PartInt*(1+CAGR_M)^Vest_Total)*(1+CDI_M)^(A182-Vest_Total),PartInt*(1+CAGR_M)^A182)))</f>
        <v/>
      </c>
      <c r="D182" s="59">
        <f>IF(Modalidade="Aquisicao direta",PartExt*(1+CAGR_M)^A182,B182*PartExt*(1+CAGR_M)^A182)</f>
        <v/>
      </c>
      <c r="E182" s="59">
        <f>baseCDI*(1+CDI_M)^A182</f>
        <v/>
      </c>
    </row>
    <row r="183">
      <c r="A183" t="n">
        <v>168</v>
      </c>
      <c r="B183" s="60">
        <f>IF(Vest_Tipo="Unico ao final",IF(A183&gt;=Vest_Total,1,0),IF(A183&lt;Cliff,0,IF(A183&gt;=Vest_Total,1,IF(AND(Cliff&gt;0,Vest_Total&gt;Cliff),(Cliff_Pct/100)+(1-(Cliff_Pct/100))*((A183-Cliff)/(Vest_Total-Cliff)),(Cliff_Pct/100)))))</f>
        <v/>
      </c>
      <c r="C183" s="59">
        <f>IF(Modalidade="Aquisicao direta",IF(A183&lt;Lockup_Aq,custoAq*(1+CDI_M)^A183,PartInt*(1+CAGR_M)^A183),IF(A183&lt;Vest_Total,B183*PartInt*(1+CAGR_M)^A183,IF(A183&lt;Vest_Total+Lockup_Vest,(PartInt*(1+CAGR_M)^Vest_Total)*(1+CDI_M)^(A183-Vest_Total),PartInt*(1+CAGR_M)^A183)))</f>
        <v/>
      </c>
      <c r="D183" s="59">
        <f>IF(Modalidade="Aquisicao direta",PartExt*(1+CAGR_M)^A183,B183*PartExt*(1+CAGR_M)^A183)</f>
        <v/>
      </c>
      <c r="E183" s="59">
        <f>baseCDI*(1+CDI_M)^A183</f>
        <v/>
      </c>
    </row>
    <row r="184">
      <c r="A184" t="n">
        <v>169</v>
      </c>
      <c r="B184" s="60">
        <f>IF(Vest_Tipo="Unico ao final",IF(A184&gt;=Vest_Total,1,0),IF(A184&lt;Cliff,0,IF(A184&gt;=Vest_Total,1,IF(AND(Cliff&gt;0,Vest_Total&gt;Cliff),(Cliff_Pct/100)+(1-(Cliff_Pct/100))*((A184-Cliff)/(Vest_Total-Cliff)),(Cliff_Pct/100)))))</f>
        <v/>
      </c>
      <c r="C184" s="59">
        <f>IF(Modalidade="Aquisicao direta",IF(A184&lt;Lockup_Aq,custoAq*(1+CDI_M)^A184,PartInt*(1+CAGR_M)^A184),IF(A184&lt;Vest_Total,B184*PartInt*(1+CAGR_M)^A184,IF(A184&lt;Vest_Total+Lockup_Vest,(PartInt*(1+CAGR_M)^Vest_Total)*(1+CDI_M)^(A184-Vest_Total),PartInt*(1+CAGR_M)^A184)))</f>
        <v/>
      </c>
      <c r="D184" s="59">
        <f>IF(Modalidade="Aquisicao direta",PartExt*(1+CAGR_M)^A184,B184*PartExt*(1+CAGR_M)^A184)</f>
        <v/>
      </c>
      <c r="E184" s="59">
        <f>baseCDI*(1+CDI_M)^A184</f>
        <v/>
      </c>
    </row>
    <row r="185">
      <c r="A185" t="n">
        <v>170</v>
      </c>
      <c r="B185" s="60">
        <f>IF(Vest_Tipo="Unico ao final",IF(A185&gt;=Vest_Total,1,0),IF(A185&lt;Cliff,0,IF(A185&gt;=Vest_Total,1,IF(AND(Cliff&gt;0,Vest_Total&gt;Cliff),(Cliff_Pct/100)+(1-(Cliff_Pct/100))*((A185-Cliff)/(Vest_Total-Cliff)),(Cliff_Pct/100)))))</f>
        <v/>
      </c>
      <c r="C185" s="59">
        <f>IF(Modalidade="Aquisicao direta",IF(A185&lt;Lockup_Aq,custoAq*(1+CDI_M)^A185,PartInt*(1+CAGR_M)^A185),IF(A185&lt;Vest_Total,B185*PartInt*(1+CAGR_M)^A185,IF(A185&lt;Vest_Total+Lockup_Vest,(PartInt*(1+CAGR_M)^Vest_Total)*(1+CDI_M)^(A185-Vest_Total),PartInt*(1+CAGR_M)^A185)))</f>
        <v/>
      </c>
      <c r="D185" s="59">
        <f>IF(Modalidade="Aquisicao direta",PartExt*(1+CAGR_M)^A185,B185*PartExt*(1+CAGR_M)^A185)</f>
        <v/>
      </c>
      <c r="E185" s="59">
        <f>baseCDI*(1+CDI_M)^A185</f>
        <v/>
      </c>
    </row>
    <row r="186">
      <c r="A186" t="n">
        <v>171</v>
      </c>
      <c r="B186" s="60">
        <f>IF(Vest_Tipo="Unico ao final",IF(A186&gt;=Vest_Total,1,0),IF(A186&lt;Cliff,0,IF(A186&gt;=Vest_Total,1,IF(AND(Cliff&gt;0,Vest_Total&gt;Cliff),(Cliff_Pct/100)+(1-(Cliff_Pct/100))*((A186-Cliff)/(Vest_Total-Cliff)),(Cliff_Pct/100)))))</f>
        <v/>
      </c>
      <c r="C186" s="59">
        <f>IF(Modalidade="Aquisicao direta",IF(A186&lt;Lockup_Aq,custoAq*(1+CDI_M)^A186,PartInt*(1+CAGR_M)^A186),IF(A186&lt;Vest_Total,B186*PartInt*(1+CAGR_M)^A186,IF(A186&lt;Vest_Total+Lockup_Vest,(PartInt*(1+CAGR_M)^Vest_Total)*(1+CDI_M)^(A186-Vest_Total),PartInt*(1+CAGR_M)^A186)))</f>
        <v/>
      </c>
      <c r="D186" s="59">
        <f>IF(Modalidade="Aquisicao direta",PartExt*(1+CAGR_M)^A186,B186*PartExt*(1+CAGR_M)^A186)</f>
        <v/>
      </c>
      <c r="E186" s="59">
        <f>baseCDI*(1+CDI_M)^A186</f>
        <v/>
      </c>
    </row>
    <row r="187">
      <c r="A187" t="n">
        <v>172</v>
      </c>
      <c r="B187" s="60">
        <f>IF(Vest_Tipo="Unico ao final",IF(A187&gt;=Vest_Total,1,0),IF(A187&lt;Cliff,0,IF(A187&gt;=Vest_Total,1,IF(AND(Cliff&gt;0,Vest_Total&gt;Cliff),(Cliff_Pct/100)+(1-(Cliff_Pct/100))*((A187-Cliff)/(Vest_Total-Cliff)),(Cliff_Pct/100)))))</f>
        <v/>
      </c>
      <c r="C187" s="59">
        <f>IF(Modalidade="Aquisicao direta",IF(A187&lt;Lockup_Aq,custoAq*(1+CDI_M)^A187,PartInt*(1+CAGR_M)^A187),IF(A187&lt;Vest_Total,B187*PartInt*(1+CAGR_M)^A187,IF(A187&lt;Vest_Total+Lockup_Vest,(PartInt*(1+CAGR_M)^Vest_Total)*(1+CDI_M)^(A187-Vest_Total),PartInt*(1+CAGR_M)^A187)))</f>
        <v/>
      </c>
      <c r="D187" s="59">
        <f>IF(Modalidade="Aquisicao direta",PartExt*(1+CAGR_M)^A187,B187*PartExt*(1+CAGR_M)^A187)</f>
        <v/>
      </c>
      <c r="E187" s="59">
        <f>baseCDI*(1+CDI_M)^A187</f>
        <v/>
      </c>
    </row>
    <row r="188">
      <c r="A188" t="n">
        <v>173</v>
      </c>
      <c r="B188" s="60">
        <f>IF(Vest_Tipo="Unico ao final",IF(A188&gt;=Vest_Total,1,0),IF(A188&lt;Cliff,0,IF(A188&gt;=Vest_Total,1,IF(AND(Cliff&gt;0,Vest_Total&gt;Cliff),(Cliff_Pct/100)+(1-(Cliff_Pct/100))*((A188-Cliff)/(Vest_Total-Cliff)),(Cliff_Pct/100)))))</f>
        <v/>
      </c>
      <c r="C188" s="59">
        <f>IF(Modalidade="Aquisicao direta",IF(A188&lt;Lockup_Aq,custoAq*(1+CDI_M)^A188,PartInt*(1+CAGR_M)^A188),IF(A188&lt;Vest_Total,B188*PartInt*(1+CAGR_M)^A188,IF(A188&lt;Vest_Total+Lockup_Vest,(PartInt*(1+CAGR_M)^Vest_Total)*(1+CDI_M)^(A188-Vest_Total),PartInt*(1+CAGR_M)^A188)))</f>
        <v/>
      </c>
      <c r="D188" s="59">
        <f>IF(Modalidade="Aquisicao direta",PartExt*(1+CAGR_M)^A188,B188*PartExt*(1+CAGR_M)^A188)</f>
        <v/>
      </c>
      <c r="E188" s="59">
        <f>baseCDI*(1+CDI_M)^A188</f>
        <v/>
      </c>
    </row>
    <row r="189">
      <c r="A189" t="n">
        <v>174</v>
      </c>
      <c r="B189" s="60">
        <f>IF(Vest_Tipo="Unico ao final",IF(A189&gt;=Vest_Total,1,0),IF(A189&lt;Cliff,0,IF(A189&gt;=Vest_Total,1,IF(AND(Cliff&gt;0,Vest_Total&gt;Cliff),(Cliff_Pct/100)+(1-(Cliff_Pct/100))*((A189-Cliff)/(Vest_Total-Cliff)),(Cliff_Pct/100)))))</f>
        <v/>
      </c>
      <c r="C189" s="59">
        <f>IF(Modalidade="Aquisicao direta",IF(A189&lt;Lockup_Aq,custoAq*(1+CDI_M)^A189,PartInt*(1+CAGR_M)^A189),IF(A189&lt;Vest_Total,B189*PartInt*(1+CAGR_M)^A189,IF(A189&lt;Vest_Total+Lockup_Vest,(PartInt*(1+CAGR_M)^Vest_Total)*(1+CDI_M)^(A189-Vest_Total),PartInt*(1+CAGR_M)^A189)))</f>
        <v/>
      </c>
      <c r="D189" s="59">
        <f>IF(Modalidade="Aquisicao direta",PartExt*(1+CAGR_M)^A189,B189*PartExt*(1+CAGR_M)^A189)</f>
        <v/>
      </c>
      <c r="E189" s="59">
        <f>baseCDI*(1+CDI_M)^A189</f>
        <v/>
      </c>
    </row>
    <row r="190">
      <c r="A190" t="n">
        <v>175</v>
      </c>
      <c r="B190" s="60">
        <f>IF(Vest_Tipo="Unico ao final",IF(A190&gt;=Vest_Total,1,0),IF(A190&lt;Cliff,0,IF(A190&gt;=Vest_Total,1,IF(AND(Cliff&gt;0,Vest_Total&gt;Cliff),(Cliff_Pct/100)+(1-(Cliff_Pct/100))*((A190-Cliff)/(Vest_Total-Cliff)),(Cliff_Pct/100)))))</f>
        <v/>
      </c>
      <c r="C190" s="59">
        <f>IF(Modalidade="Aquisicao direta",IF(A190&lt;Lockup_Aq,custoAq*(1+CDI_M)^A190,PartInt*(1+CAGR_M)^A190),IF(A190&lt;Vest_Total,B190*PartInt*(1+CAGR_M)^A190,IF(A190&lt;Vest_Total+Lockup_Vest,(PartInt*(1+CAGR_M)^Vest_Total)*(1+CDI_M)^(A190-Vest_Total),PartInt*(1+CAGR_M)^A190)))</f>
        <v/>
      </c>
      <c r="D190" s="59">
        <f>IF(Modalidade="Aquisicao direta",PartExt*(1+CAGR_M)^A190,B190*PartExt*(1+CAGR_M)^A190)</f>
        <v/>
      </c>
      <c r="E190" s="59">
        <f>baseCDI*(1+CDI_M)^A190</f>
        <v/>
      </c>
    </row>
    <row r="191">
      <c r="A191" t="n">
        <v>176</v>
      </c>
      <c r="B191" s="60">
        <f>IF(Vest_Tipo="Unico ao final",IF(A191&gt;=Vest_Total,1,0),IF(A191&lt;Cliff,0,IF(A191&gt;=Vest_Total,1,IF(AND(Cliff&gt;0,Vest_Total&gt;Cliff),(Cliff_Pct/100)+(1-(Cliff_Pct/100))*((A191-Cliff)/(Vest_Total-Cliff)),(Cliff_Pct/100)))))</f>
        <v/>
      </c>
      <c r="C191" s="59">
        <f>IF(Modalidade="Aquisicao direta",IF(A191&lt;Lockup_Aq,custoAq*(1+CDI_M)^A191,PartInt*(1+CAGR_M)^A191),IF(A191&lt;Vest_Total,B191*PartInt*(1+CAGR_M)^A191,IF(A191&lt;Vest_Total+Lockup_Vest,(PartInt*(1+CAGR_M)^Vest_Total)*(1+CDI_M)^(A191-Vest_Total),PartInt*(1+CAGR_M)^A191)))</f>
        <v/>
      </c>
      <c r="D191" s="59">
        <f>IF(Modalidade="Aquisicao direta",PartExt*(1+CAGR_M)^A191,B191*PartExt*(1+CAGR_M)^A191)</f>
        <v/>
      </c>
      <c r="E191" s="59">
        <f>baseCDI*(1+CDI_M)^A191</f>
        <v/>
      </c>
    </row>
    <row r="192">
      <c r="A192" t="n">
        <v>177</v>
      </c>
      <c r="B192" s="60">
        <f>IF(Vest_Tipo="Unico ao final",IF(A192&gt;=Vest_Total,1,0),IF(A192&lt;Cliff,0,IF(A192&gt;=Vest_Total,1,IF(AND(Cliff&gt;0,Vest_Total&gt;Cliff),(Cliff_Pct/100)+(1-(Cliff_Pct/100))*((A192-Cliff)/(Vest_Total-Cliff)),(Cliff_Pct/100)))))</f>
        <v/>
      </c>
      <c r="C192" s="59">
        <f>IF(Modalidade="Aquisicao direta",IF(A192&lt;Lockup_Aq,custoAq*(1+CDI_M)^A192,PartInt*(1+CAGR_M)^A192),IF(A192&lt;Vest_Total,B192*PartInt*(1+CAGR_M)^A192,IF(A192&lt;Vest_Total+Lockup_Vest,(PartInt*(1+CAGR_M)^Vest_Total)*(1+CDI_M)^(A192-Vest_Total),PartInt*(1+CAGR_M)^A192)))</f>
        <v/>
      </c>
      <c r="D192" s="59">
        <f>IF(Modalidade="Aquisicao direta",PartExt*(1+CAGR_M)^A192,B192*PartExt*(1+CAGR_M)^A192)</f>
        <v/>
      </c>
      <c r="E192" s="59">
        <f>baseCDI*(1+CDI_M)^A192</f>
        <v/>
      </c>
    </row>
    <row r="193">
      <c r="A193" t="n">
        <v>178</v>
      </c>
      <c r="B193" s="60">
        <f>IF(Vest_Tipo="Unico ao final",IF(A193&gt;=Vest_Total,1,0),IF(A193&lt;Cliff,0,IF(A193&gt;=Vest_Total,1,IF(AND(Cliff&gt;0,Vest_Total&gt;Cliff),(Cliff_Pct/100)+(1-(Cliff_Pct/100))*((A193-Cliff)/(Vest_Total-Cliff)),(Cliff_Pct/100)))))</f>
        <v/>
      </c>
      <c r="C193" s="59">
        <f>IF(Modalidade="Aquisicao direta",IF(A193&lt;Lockup_Aq,custoAq*(1+CDI_M)^A193,PartInt*(1+CAGR_M)^A193),IF(A193&lt;Vest_Total,B193*PartInt*(1+CAGR_M)^A193,IF(A193&lt;Vest_Total+Lockup_Vest,(PartInt*(1+CAGR_M)^Vest_Total)*(1+CDI_M)^(A193-Vest_Total),PartInt*(1+CAGR_M)^A193)))</f>
        <v/>
      </c>
      <c r="D193" s="59">
        <f>IF(Modalidade="Aquisicao direta",PartExt*(1+CAGR_M)^A193,B193*PartExt*(1+CAGR_M)^A193)</f>
        <v/>
      </c>
      <c r="E193" s="59">
        <f>baseCDI*(1+CDI_M)^A193</f>
        <v/>
      </c>
    </row>
    <row r="194">
      <c r="A194" t="n">
        <v>179</v>
      </c>
      <c r="B194" s="60">
        <f>IF(Vest_Tipo="Unico ao final",IF(A194&gt;=Vest_Total,1,0),IF(A194&lt;Cliff,0,IF(A194&gt;=Vest_Total,1,IF(AND(Cliff&gt;0,Vest_Total&gt;Cliff),(Cliff_Pct/100)+(1-(Cliff_Pct/100))*((A194-Cliff)/(Vest_Total-Cliff)),(Cliff_Pct/100)))))</f>
        <v/>
      </c>
      <c r="C194" s="59">
        <f>IF(Modalidade="Aquisicao direta",IF(A194&lt;Lockup_Aq,custoAq*(1+CDI_M)^A194,PartInt*(1+CAGR_M)^A194),IF(A194&lt;Vest_Total,B194*PartInt*(1+CAGR_M)^A194,IF(A194&lt;Vest_Total+Lockup_Vest,(PartInt*(1+CAGR_M)^Vest_Total)*(1+CDI_M)^(A194-Vest_Total),PartInt*(1+CAGR_M)^A194)))</f>
        <v/>
      </c>
      <c r="D194" s="59">
        <f>IF(Modalidade="Aquisicao direta",PartExt*(1+CAGR_M)^A194,B194*PartExt*(1+CAGR_M)^A194)</f>
        <v/>
      </c>
      <c r="E194" s="59">
        <f>baseCDI*(1+CDI_M)^A194</f>
        <v/>
      </c>
    </row>
    <row r="195">
      <c r="A195" t="n">
        <v>180</v>
      </c>
      <c r="B195" s="60">
        <f>IF(Vest_Tipo="Unico ao final",IF(A195&gt;=Vest_Total,1,0),IF(A195&lt;Cliff,0,IF(A195&gt;=Vest_Total,1,IF(AND(Cliff&gt;0,Vest_Total&gt;Cliff),(Cliff_Pct/100)+(1-(Cliff_Pct/100))*((A195-Cliff)/(Vest_Total-Cliff)),(Cliff_Pct/100)))))</f>
        <v/>
      </c>
      <c r="C195" s="59">
        <f>IF(Modalidade="Aquisicao direta",IF(A195&lt;Lockup_Aq,custoAq*(1+CDI_M)^A195,PartInt*(1+CAGR_M)^A195),IF(A195&lt;Vest_Total,B195*PartInt*(1+CAGR_M)^A195,IF(A195&lt;Vest_Total+Lockup_Vest,(PartInt*(1+CAGR_M)^Vest_Total)*(1+CDI_M)^(A195-Vest_Total),PartInt*(1+CAGR_M)^A195)))</f>
        <v/>
      </c>
      <c r="D195" s="59">
        <f>IF(Modalidade="Aquisicao direta",PartExt*(1+CAGR_M)^A195,B195*PartExt*(1+CAGR_M)^A195)</f>
        <v/>
      </c>
      <c r="E195" s="59">
        <f>baseCDI*(1+CDI_M)^A195</f>
        <v/>
      </c>
    </row>
    <row r="196">
      <c r="A196" t="n">
        <v>181</v>
      </c>
      <c r="B196" s="60">
        <f>IF(Vest_Tipo="Unico ao final",IF(A196&gt;=Vest_Total,1,0),IF(A196&lt;Cliff,0,IF(A196&gt;=Vest_Total,1,IF(AND(Cliff&gt;0,Vest_Total&gt;Cliff),(Cliff_Pct/100)+(1-(Cliff_Pct/100))*((A196-Cliff)/(Vest_Total-Cliff)),(Cliff_Pct/100)))))</f>
        <v/>
      </c>
      <c r="C196" s="59">
        <f>IF(Modalidade="Aquisicao direta",IF(A196&lt;Lockup_Aq,custoAq*(1+CDI_M)^A196,PartInt*(1+CAGR_M)^A196),IF(A196&lt;Vest_Total,B196*PartInt*(1+CAGR_M)^A196,IF(A196&lt;Vest_Total+Lockup_Vest,(PartInt*(1+CAGR_M)^Vest_Total)*(1+CDI_M)^(A196-Vest_Total),PartInt*(1+CAGR_M)^A196)))</f>
        <v/>
      </c>
      <c r="D196" s="59">
        <f>IF(Modalidade="Aquisicao direta",PartExt*(1+CAGR_M)^A196,B196*PartExt*(1+CAGR_M)^A196)</f>
        <v/>
      </c>
      <c r="E196" s="59">
        <f>baseCDI*(1+CDI_M)^A196</f>
        <v/>
      </c>
    </row>
    <row r="197">
      <c r="A197" t="n">
        <v>182</v>
      </c>
      <c r="B197" s="60">
        <f>IF(Vest_Tipo="Unico ao final",IF(A197&gt;=Vest_Total,1,0),IF(A197&lt;Cliff,0,IF(A197&gt;=Vest_Total,1,IF(AND(Cliff&gt;0,Vest_Total&gt;Cliff),(Cliff_Pct/100)+(1-(Cliff_Pct/100))*((A197-Cliff)/(Vest_Total-Cliff)),(Cliff_Pct/100)))))</f>
        <v/>
      </c>
      <c r="C197" s="59">
        <f>IF(Modalidade="Aquisicao direta",IF(A197&lt;Lockup_Aq,custoAq*(1+CDI_M)^A197,PartInt*(1+CAGR_M)^A197),IF(A197&lt;Vest_Total,B197*PartInt*(1+CAGR_M)^A197,IF(A197&lt;Vest_Total+Lockup_Vest,(PartInt*(1+CAGR_M)^Vest_Total)*(1+CDI_M)^(A197-Vest_Total),PartInt*(1+CAGR_M)^A197)))</f>
        <v/>
      </c>
      <c r="D197" s="59">
        <f>IF(Modalidade="Aquisicao direta",PartExt*(1+CAGR_M)^A197,B197*PartExt*(1+CAGR_M)^A197)</f>
        <v/>
      </c>
      <c r="E197" s="59">
        <f>baseCDI*(1+CDI_M)^A197</f>
        <v/>
      </c>
    </row>
    <row r="198">
      <c r="A198" t="n">
        <v>183</v>
      </c>
      <c r="B198" s="60">
        <f>IF(Vest_Tipo="Unico ao final",IF(A198&gt;=Vest_Total,1,0),IF(A198&lt;Cliff,0,IF(A198&gt;=Vest_Total,1,IF(AND(Cliff&gt;0,Vest_Total&gt;Cliff),(Cliff_Pct/100)+(1-(Cliff_Pct/100))*((A198-Cliff)/(Vest_Total-Cliff)),(Cliff_Pct/100)))))</f>
        <v/>
      </c>
      <c r="C198" s="59">
        <f>IF(Modalidade="Aquisicao direta",IF(A198&lt;Lockup_Aq,custoAq*(1+CDI_M)^A198,PartInt*(1+CAGR_M)^A198),IF(A198&lt;Vest_Total,B198*PartInt*(1+CAGR_M)^A198,IF(A198&lt;Vest_Total+Lockup_Vest,(PartInt*(1+CAGR_M)^Vest_Total)*(1+CDI_M)^(A198-Vest_Total),PartInt*(1+CAGR_M)^A198)))</f>
        <v/>
      </c>
      <c r="D198" s="59">
        <f>IF(Modalidade="Aquisicao direta",PartExt*(1+CAGR_M)^A198,B198*PartExt*(1+CAGR_M)^A198)</f>
        <v/>
      </c>
      <c r="E198" s="59">
        <f>baseCDI*(1+CDI_M)^A198</f>
        <v/>
      </c>
    </row>
    <row r="199">
      <c r="A199" t="n">
        <v>184</v>
      </c>
      <c r="B199" s="60">
        <f>IF(Vest_Tipo="Unico ao final",IF(A199&gt;=Vest_Total,1,0),IF(A199&lt;Cliff,0,IF(A199&gt;=Vest_Total,1,IF(AND(Cliff&gt;0,Vest_Total&gt;Cliff),(Cliff_Pct/100)+(1-(Cliff_Pct/100))*((A199-Cliff)/(Vest_Total-Cliff)),(Cliff_Pct/100)))))</f>
        <v/>
      </c>
      <c r="C199" s="59">
        <f>IF(Modalidade="Aquisicao direta",IF(A199&lt;Lockup_Aq,custoAq*(1+CDI_M)^A199,PartInt*(1+CAGR_M)^A199),IF(A199&lt;Vest_Total,B199*PartInt*(1+CAGR_M)^A199,IF(A199&lt;Vest_Total+Lockup_Vest,(PartInt*(1+CAGR_M)^Vest_Total)*(1+CDI_M)^(A199-Vest_Total),PartInt*(1+CAGR_M)^A199)))</f>
        <v/>
      </c>
      <c r="D199" s="59">
        <f>IF(Modalidade="Aquisicao direta",PartExt*(1+CAGR_M)^A199,B199*PartExt*(1+CAGR_M)^A199)</f>
        <v/>
      </c>
      <c r="E199" s="59">
        <f>baseCDI*(1+CDI_M)^A199</f>
        <v/>
      </c>
    </row>
    <row r="200">
      <c r="A200" t="n">
        <v>185</v>
      </c>
      <c r="B200" s="60">
        <f>IF(Vest_Tipo="Unico ao final",IF(A200&gt;=Vest_Total,1,0),IF(A200&lt;Cliff,0,IF(A200&gt;=Vest_Total,1,IF(AND(Cliff&gt;0,Vest_Total&gt;Cliff),(Cliff_Pct/100)+(1-(Cliff_Pct/100))*((A200-Cliff)/(Vest_Total-Cliff)),(Cliff_Pct/100)))))</f>
        <v/>
      </c>
      <c r="C200" s="59">
        <f>IF(Modalidade="Aquisicao direta",IF(A200&lt;Lockup_Aq,custoAq*(1+CDI_M)^A200,PartInt*(1+CAGR_M)^A200),IF(A200&lt;Vest_Total,B200*PartInt*(1+CAGR_M)^A200,IF(A200&lt;Vest_Total+Lockup_Vest,(PartInt*(1+CAGR_M)^Vest_Total)*(1+CDI_M)^(A200-Vest_Total),PartInt*(1+CAGR_M)^A200)))</f>
        <v/>
      </c>
      <c r="D200" s="59">
        <f>IF(Modalidade="Aquisicao direta",PartExt*(1+CAGR_M)^A200,B200*PartExt*(1+CAGR_M)^A200)</f>
        <v/>
      </c>
      <c r="E200" s="59">
        <f>baseCDI*(1+CDI_M)^A200</f>
        <v/>
      </c>
    </row>
    <row r="201">
      <c r="A201" t="n">
        <v>186</v>
      </c>
      <c r="B201" s="60">
        <f>IF(Vest_Tipo="Unico ao final",IF(A201&gt;=Vest_Total,1,0),IF(A201&lt;Cliff,0,IF(A201&gt;=Vest_Total,1,IF(AND(Cliff&gt;0,Vest_Total&gt;Cliff),(Cliff_Pct/100)+(1-(Cliff_Pct/100))*((A201-Cliff)/(Vest_Total-Cliff)),(Cliff_Pct/100)))))</f>
        <v/>
      </c>
      <c r="C201" s="59">
        <f>IF(Modalidade="Aquisicao direta",IF(A201&lt;Lockup_Aq,custoAq*(1+CDI_M)^A201,PartInt*(1+CAGR_M)^A201),IF(A201&lt;Vest_Total,B201*PartInt*(1+CAGR_M)^A201,IF(A201&lt;Vest_Total+Lockup_Vest,(PartInt*(1+CAGR_M)^Vest_Total)*(1+CDI_M)^(A201-Vest_Total),PartInt*(1+CAGR_M)^A201)))</f>
        <v/>
      </c>
      <c r="D201" s="59">
        <f>IF(Modalidade="Aquisicao direta",PartExt*(1+CAGR_M)^A201,B201*PartExt*(1+CAGR_M)^A201)</f>
        <v/>
      </c>
      <c r="E201" s="59">
        <f>baseCDI*(1+CDI_M)^A201</f>
        <v/>
      </c>
    </row>
    <row r="202">
      <c r="A202" t="n">
        <v>187</v>
      </c>
      <c r="B202" s="60">
        <f>IF(Vest_Tipo="Unico ao final",IF(A202&gt;=Vest_Total,1,0),IF(A202&lt;Cliff,0,IF(A202&gt;=Vest_Total,1,IF(AND(Cliff&gt;0,Vest_Total&gt;Cliff),(Cliff_Pct/100)+(1-(Cliff_Pct/100))*((A202-Cliff)/(Vest_Total-Cliff)),(Cliff_Pct/100)))))</f>
        <v/>
      </c>
      <c r="C202" s="59">
        <f>IF(Modalidade="Aquisicao direta",IF(A202&lt;Lockup_Aq,custoAq*(1+CDI_M)^A202,PartInt*(1+CAGR_M)^A202),IF(A202&lt;Vest_Total,B202*PartInt*(1+CAGR_M)^A202,IF(A202&lt;Vest_Total+Lockup_Vest,(PartInt*(1+CAGR_M)^Vest_Total)*(1+CDI_M)^(A202-Vest_Total),PartInt*(1+CAGR_M)^A202)))</f>
        <v/>
      </c>
      <c r="D202" s="59">
        <f>IF(Modalidade="Aquisicao direta",PartExt*(1+CAGR_M)^A202,B202*PartExt*(1+CAGR_M)^A202)</f>
        <v/>
      </c>
      <c r="E202" s="59">
        <f>baseCDI*(1+CDI_M)^A202</f>
        <v/>
      </c>
    </row>
    <row r="203">
      <c r="A203" t="n">
        <v>188</v>
      </c>
      <c r="B203" s="60">
        <f>IF(Vest_Tipo="Unico ao final",IF(A203&gt;=Vest_Total,1,0),IF(A203&lt;Cliff,0,IF(A203&gt;=Vest_Total,1,IF(AND(Cliff&gt;0,Vest_Total&gt;Cliff),(Cliff_Pct/100)+(1-(Cliff_Pct/100))*((A203-Cliff)/(Vest_Total-Cliff)),(Cliff_Pct/100)))))</f>
        <v/>
      </c>
      <c r="C203" s="59">
        <f>IF(Modalidade="Aquisicao direta",IF(A203&lt;Lockup_Aq,custoAq*(1+CDI_M)^A203,PartInt*(1+CAGR_M)^A203),IF(A203&lt;Vest_Total,B203*PartInt*(1+CAGR_M)^A203,IF(A203&lt;Vest_Total+Lockup_Vest,(PartInt*(1+CAGR_M)^Vest_Total)*(1+CDI_M)^(A203-Vest_Total),PartInt*(1+CAGR_M)^A203)))</f>
        <v/>
      </c>
      <c r="D203" s="59">
        <f>IF(Modalidade="Aquisicao direta",PartExt*(1+CAGR_M)^A203,B203*PartExt*(1+CAGR_M)^A203)</f>
        <v/>
      </c>
      <c r="E203" s="59">
        <f>baseCDI*(1+CDI_M)^A203</f>
        <v/>
      </c>
    </row>
    <row r="204">
      <c r="A204" t="n">
        <v>189</v>
      </c>
      <c r="B204" s="60">
        <f>IF(Vest_Tipo="Unico ao final",IF(A204&gt;=Vest_Total,1,0),IF(A204&lt;Cliff,0,IF(A204&gt;=Vest_Total,1,IF(AND(Cliff&gt;0,Vest_Total&gt;Cliff),(Cliff_Pct/100)+(1-(Cliff_Pct/100))*((A204-Cliff)/(Vest_Total-Cliff)),(Cliff_Pct/100)))))</f>
        <v/>
      </c>
      <c r="C204" s="59">
        <f>IF(Modalidade="Aquisicao direta",IF(A204&lt;Lockup_Aq,custoAq*(1+CDI_M)^A204,PartInt*(1+CAGR_M)^A204),IF(A204&lt;Vest_Total,B204*PartInt*(1+CAGR_M)^A204,IF(A204&lt;Vest_Total+Lockup_Vest,(PartInt*(1+CAGR_M)^Vest_Total)*(1+CDI_M)^(A204-Vest_Total),PartInt*(1+CAGR_M)^A204)))</f>
        <v/>
      </c>
      <c r="D204" s="59">
        <f>IF(Modalidade="Aquisicao direta",PartExt*(1+CAGR_M)^A204,B204*PartExt*(1+CAGR_M)^A204)</f>
        <v/>
      </c>
      <c r="E204" s="59">
        <f>baseCDI*(1+CDI_M)^A204</f>
        <v/>
      </c>
    </row>
    <row r="205">
      <c r="A205" t="n">
        <v>190</v>
      </c>
      <c r="B205" s="60">
        <f>IF(Vest_Tipo="Unico ao final",IF(A205&gt;=Vest_Total,1,0),IF(A205&lt;Cliff,0,IF(A205&gt;=Vest_Total,1,IF(AND(Cliff&gt;0,Vest_Total&gt;Cliff),(Cliff_Pct/100)+(1-(Cliff_Pct/100))*((A205-Cliff)/(Vest_Total-Cliff)),(Cliff_Pct/100)))))</f>
        <v/>
      </c>
      <c r="C205" s="59">
        <f>IF(Modalidade="Aquisicao direta",IF(A205&lt;Lockup_Aq,custoAq*(1+CDI_M)^A205,PartInt*(1+CAGR_M)^A205),IF(A205&lt;Vest_Total,B205*PartInt*(1+CAGR_M)^A205,IF(A205&lt;Vest_Total+Lockup_Vest,(PartInt*(1+CAGR_M)^Vest_Total)*(1+CDI_M)^(A205-Vest_Total),PartInt*(1+CAGR_M)^A205)))</f>
        <v/>
      </c>
      <c r="D205" s="59">
        <f>IF(Modalidade="Aquisicao direta",PartExt*(1+CAGR_M)^A205,B205*PartExt*(1+CAGR_M)^A205)</f>
        <v/>
      </c>
      <c r="E205" s="59">
        <f>baseCDI*(1+CDI_M)^A205</f>
        <v/>
      </c>
    </row>
    <row r="206">
      <c r="A206" t="n">
        <v>191</v>
      </c>
      <c r="B206" s="60">
        <f>IF(Vest_Tipo="Unico ao final",IF(A206&gt;=Vest_Total,1,0),IF(A206&lt;Cliff,0,IF(A206&gt;=Vest_Total,1,IF(AND(Cliff&gt;0,Vest_Total&gt;Cliff),(Cliff_Pct/100)+(1-(Cliff_Pct/100))*((A206-Cliff)/(Vest_Total-Cliff)),(Cliff_Pct/100)))))</f>
        <v/>
      </c>
      <c r="C206" s="59">
        <f>IF(Modalidade="Aquisicao direta",IF(A206&lt;Lockup_Aq,custoAq*(1+CDI_M)^A206,PartInt*(1+CAGR_M)^A206),IF(A206&lt;Vest_Total,B206*PartInt*(1+CAGR_M)^A206,IF(A206&lt;Vest_Total+Lockup_Vest,(PartInt*(1+CAGR_M)^Vest_Total)*(1+CDI_M)^(A206-Vest_Total),PartInt*(1+CAGR_M)^A206)))</f>
        <v/>
      </c>
      <c r="D206" s="59">
        <f>IF(Modalidade="Aquisicao direta",PartExt*(1+CAGR_M)^A206,B206*PartExt*(1+CAGR_M)^A206)</f>
        <v/>
      </c>
      <c r="E206" s="59">
        <f>baseCDI*(1+CDI_M)^A206</f>
        <v/>
      </c>
    </row>
    <row r="207">
      <c r="A207" t="n">
        <v>192</v>
      </c>
      <c r="B207" s="60">
        <f>IF(Vest_Tipo="Unico ao final",IF(A207&gt;=Vest_Total,1,0),IF(A207&lt;Cliff,0,IF(A207&gt;=Vest_Total,1,IF(AND(Cliff&gt;0,Vest_Total&gt;Cliff),(Cliff_Pct/100)+(1-(Cliff_Pct/100))*((A207-Cliff)/(Vest_Total-Cliff)),(Cliff_Pct/100)))))</f>
        <v/>
      </c>
      <c r="C207" s="59">
        <f>IF(Modalidade="Aquisicao direta",IF(A207&lt;Lockup_Aq,custoAq*(1+CDI_M)^A207,PartInt*(1+CAGR_M)^A207),IF(A207&lt;Vest_Total,B207*PartInt*(1+CAGR_M)^A207,IF(A207&lt;Vest_Total+Lockup_Vest,(PartInt*(1+CAGR_M)^Vest_Total)*(1+CDI_M)^(A207-Vest_Total),PartInt*(1+CAGR_M)^A207)))</f>
        <v/>
      </c>
      <c r="D207" s="59">
        <f>IF(Modalidade="Aquisicao direta",PartExt*(1+CAGR_M)^A207,B207*PartExt*(1+CAGR_M)^A207)</f>
        <v/>
      </c>
      <c r="E207" s="59">
        <f>baseCDI*(1+CDI_M)^A207</f>
        <v/>
      </c>
    </row>
    <row r="208">
      <c r="A208" t="n">
        <v>193</v>
      </c>
      <c r="B208" s="60">
        <f>IF(Vest_Tipo="Unico ao final",IF(A208&gt;=Vest_Total,1,0),IF(A208&lt;Cliff,0,IF(A208&gt;=Vest_Total,1,IF(AND(Cliff&gt;0,Vest_Total&gt;Cliff),(Cliff_Pct/100)+(1-(Cliff_Pct/100))*((A208-Cliff)/(Vest_Total-Cliff)),(Cliff_Pct/100)))))</f>
        <v/>
      </c>
      <c r="C208" s="59">
        <f>IF(Modalidade="Aquisicao direta",IF(A208&lt;Lockup_Aq,custoAq*(1+CDI_M)^A208,PartInt*(1+CAGR_M)^A208),IF(A208&lt;Vest_Total,B208*PartInt*(1+CAGR_M)^A208,IF(A208&lt;Vest_Total+Lockup_Vest,(PartInt*(1+CAGR_M)^Vest_Total)*(1+CDI_M)^(A208-Vest_Total),PartInt*(1+CAGR_M)^A208)))</f>
        <v/>
      </c>
      <c r="D208" s="59">
        <f>IF(Modalidade="Aquisicao direta",PartExt*(1+CAGR_M)^A208,B208*PartExt*(1+CAGR_M)^A208)</f>
        <v/>
      </c>
      <c r="E208" s="59">
        <f>baseCDI*(1+CDI_M)^A208</f>
        <v/>
      </c>
    </row>
    <row r="209">
      <c r="A209" t="n">
        <v>194</v>
      </c>
      <c r="B209" s="60">
        <f>IF(Vest_Tipo="Unico ao final",IF(A209&gt;=Vest_Total,1,0),IF(A209&lt;Cliff,0,IF(A209&gt;=Vest_Total,1,IF(AND(Cliff&gt;0,Vest_Total&gt;Cliff),(Cliff_Pct/100)+(1-(Cliff_Pct/100))*((A209-Cliff)/(Vest_Total-Cliff)),(Cliff_Pct/100)))))</f>
        <v/>
      </c>
      <c r="C209" s="59">
        <f>IF(Modalidade="Aquisicao direta",IF(A209&lt;Lockup_Aq,custoAq*(1+CDI_M)^A209,PartInt*(1+CAGR_M)^A209),IF(A209&lt;Vest_Total,B209*PartInt*(1+CAGR_M)^A209,IF(A209&lt;Vest_Total+Lockup_Vest,(PartInt*(1+CAGR_M)^Vest_Total)*(1+CDI_M)^(A209-Vest_Total),PartInt*(1+CAGR_M)^A209)))</f>
        <v/>
      </c>
      <c r="D209" s="59">
        <f>IF(Modalidade="Aquisicao direta",PartExt*(1+CAGR_M)^A209,B209*PartExt*(1+CAGR_M)^A209)</f>
        <v/>
      </c>
      <c r="E209" s="59">
        <f>baseCDI*(1+CDI_M)^A209</f>
        <v/>
      </c>
    </row>
    <row r="210">
      <c r="A210" t="n">
        <v>195</v>
      </c>
      <c r="B210" s="60">
        <f>IF(Vest_Tipo="Unico ao final",IF(A210&gt;=Vest_Total,1,0),IF(A210&lt;Cliff,0,IF(A210&gt;=Vest_Total,1,IF(AND(Cliff&gt;0,Vest_Total&gt;Cliff),(Cliff_Pct/100)+(1-(Cliff_Pct/100))*((A210-Cliff)/(Vest_Total-Cliff)),(Cliff_Pct/100)))))</f>
        <v/>
      </c>
      <c r="C210" s="59">
        <f>IF(Modalidade="Aquisicao direta",IF(A210&lt;Lockup_Aq,custoAq*(1+CDI_M)^A210,PartInt*(1+CAGR_M)^A210),IF(A210&lt;Vest_Total,B210*PartInt*(1+CAGR_M)^A210,IF(A210&lt;Vest_Total+Lockup_Vest,(PartInt*(1+CAGR_M)^Vest_Total)*(1+CDI_M)^(A210-Vest_Total),PartInt*(1+CAGR_M)^A210)))</f>
        <v/>
      </c>
      <c r="D210" s="59">
        <f>IF(Modalidade="Aquisicao direta",PartExt*(1+CAGR_M)^A210,B210*PartExt*(1+CAGR_M)^A210)</f>
        <v/>
      </c>
      <c r="E210" s="59">
        <f>baseCDI*(1+CDI_M)^A210</f>
        <v/>
      </c>
    </row>
    <row r="211">
      <c r="A211" t="n">
        <v>196</v>
      </c>
      <c r="B211" s="60">
        <f>IF(Vest_Tipo="Unico ao final",IF(A211&gt;=Vest_Total,1,0),IF(A211&lt;Cliff,0,IF(A211&gt;=Vest_Total,1,IF(AND(Cliff&gt;0,Vest_Total&gt;Cliff),(Cliff_Pct/100)+(1-(Cliff_Pct/100))*((A211-Cliff)/(Vest_Total-Cliff)),(Cliff_Pct/100)))))</f>
        <v/>
      </c>
      <c r="C211" s="59">
        <f>IF(Modalidade="Aquisicao direta",IF(A211&lt;Lockup_Aq,custoAq*(1+CDI_M)^A211,PartInt*(1+CAGR_M)^A211),IF(A211&lt;Vest_Total,B211*PartInt*(1+CAGR_M)^A211,IF(A211&lt;Vest_Total+Lockup_Vest,(PartInt*(1+CAGR_M)^Vest_Total)*(1+CDI_M)^(A211-Vest_Total),PartInt*(1+CAGR_M)^A211)))</f>
        <v/>
      </c>
      <c r="D211" s="59">
        <f>IF(Modalidade="Aquisicao direta",PartExt*(1+CAGR_M)^A211,B211*PartExt*(1+CAGR_M)^A211)</f>
        <v/>
      </c>
      <c r="E211" s="59">
        <f>baseCDI*(1+CDI_M)^A211</f>
        <v/>
      </c>
    </row>
    <row r="212">
      <c r="A212" t="n">
        <v>197</v>
      </c>
      <c r="B212" s="60">
        <f>IF(Vest_Tipo="Unico ao final",IF(A212&gt;=Vest_Total,1,0),IF(A212&lt;Cliff,0,IF(A212&gt;=Vest_Total,1,IF(AND(Cliff&gt;0,Vest_Total&gt;Cliff),(Cliff_Pct/100)+(1-(Cliff_Pct/100))*((A212-Cliff)/(Vest_Total-Cliff)),(Cliff_Pct/100)))))</f>
        <v/>
      </c>
      <c r="C212" s="59">
        <f>IF(Modalidade="Aquisicao direta",IF(A212&lt;Lockup_Aq,custoAq*(1+CDI_M)^A212,PartInt*(1+CAGR_M)^A212),IF(A212&lt;Vest_Total,B212*PartInt*(1+CAGR_M)^A212,IF(A212&lt;Vest_Total+Lockup_Vest,(PartInt*(1+CAGR_M)^Vest_Total)*(1+CDI_M)^(A212-Vest_Total),PartInt*(1+CAGR_M)^A212)))</f>
        <v/>
      </c>
      <c r="D212" s="59">
        <f>IF(Modalidade="Aquisicao direta",PartExt*(1+CAGR_M)^A212,B212*PartExt*(1+CAGR_M)^A212)</f>
        <v/>
      </c>
      <c r="E212" s="59">
        <f>baseCDI*(1+CDI_M)^A212</f>
        <v/>
      </c>
    </row>
    <row r="213">
      <c r="A213" t="n">
        <v>198</v>
      </c>
      <c r="B213" s="60">
        <f>IF(Vest_Tipo="Unico ao final",IF(A213&gt;=Vest_Total,1,0),IF(A213&lt;Cliff,0,IF(A213&gt;=Vest_Total,1,IF(AND(Cliff&gt;0,Vest_Total&gt;Cliff),(Cliff_Pct/100)+(1-(Cliff_Pct/100))*((A213-Cliff)/(Vest_Total-Cliff)),(Cliff_Pct/100)))))</f>
        <v/>
      </c>
      <c r="C213" s="59">
        <f>IF(Modalidade="Aquisicao direta",IF(A213&lt;Lockup_Aq,custoAq*(1+CDI_M)^A213,PartInt*(1+CAGR_M)^A213),IF(A213&lt;Vest_Total,B213*PartInt*(1+CAGR_M)^A213,IF(A213&lt;Vest_Total+Lockup_Vest,(PartInt*(1+CAGR_M)^Vest_Total)*(1+CDI_M)^(A213-Vest_Total),PartInt*(1+CAGR_M)^A213)))</f>
        <v/>
      </c>
      <c r="D213" s="59">
        <f>IF(Modalidade="Aquisicao direta",PartExt*(1+CAGR_M)^A213,B213*PartExt*(1+CAGR_M)^A213)</f>
        <v/>
      </c>
      <c r="E213" s="59">
        <f>baseCDI*(1+CDI_M)^A213</f>
        <v/>
      </c>
    </row>
    <row r="214">
      <c r="A214" t="n">
        <v>199</v>
      </c>
      <c r="B214" s="60">
        <f>IF(Vest_Tipo="Unico ao final",IF(A214&gt;=Vest_Total,1,0),IF(A214&lt;Cliff,0,IF(A214&gt;=Vest_Total,1,IF(AND(Cliff&gt;0,Vest_Total&gt;Cliff),(Cliff_Pct/100)+(1-(Cliff_Pct/100))*((A214-Cliff)/(Vest_Total-Cliff)),(Cliff_Pct/100)))))</f>
        <v/>
      </c>
      <c r="C214" s="59">
        <f>IF(Modalidade="Aquisicao direta",IF(A214&lt;Lockup_Aq,custoAq*(1+CDI_M)^A214,PartInt*(1+CAGR_M)^A214),IF(A214&lt;Vest_Total,B214*PartInt*(1+CAGR_M)^A214,IF(A214&lt;Vest_Total+Lockup_Vest,(PartInt*(1+CAGR_M)^Vest_Total)*(1+CDI_M)^(A214-Vest_Total),PartInt*(1+CAGR_M)^A214)))</f>
        <v/>
      </c>
      <c r="D214" s="59">
        <f>IF(Modalidade="Aquisicao direta",PartExt*(1+CAGR_M)^A214,B214*PartExt*(1+CAGR_M)^A214)</f>
        <v/>
      </c>
      <c r="E214" s="59">
        <f>baseCDI*(1+CDI_M)^A214</f>
        <v/>
      </c>
    </row>
    <row r="215">
      <c r="A215" t="n">
        <v>200</v>
      </c>
      <c r="B215" s="60">
        <f>IF(Vest_Tipo="Unico ao final",IF(A215&gt;=Vest_Total,1,0),IF(A215&lt;Cliff,0,IF(A215&gt;=Vest_Total,1,IF(AND(Cliff&gt;0,Vest_Total&gt;Cliff),(Cliff_Pct/100)+(1-(Cliff_Pct/100))*((A215-Cliff)/(Vest_Total-Cliff)),(Cliff_Pct/100)))))</f>
        <v/>
      </c>
      <c r="C215" s="59">
        <f>IF(Modalidade="Aquisicao direta",IF(A215&lt;Lockup_Aq,custoAq*(1+CDI_M)^A215,PartInt*(1+CAGR_M)^A215),IF(A215&lt;Vest_Total,B215*PartInt*(1+CAGR_M)^A215,IF(A215&lt;Vest_Total+Lockup_Vest,(PartInt*(1+CAGR_M)^Vest_Total)*(1+CDI_M)^(A215-Vest_Total),PartInt*(1+CAGR_M)^A215)))</f>
        <v/>
      </c>
      <c r="D215" s="59">
        <f>IF(Modalidade="Aquisicao direta",PartExt*(1+CAGR_M)^A215,B215*PartExt*(1+CAGR_M)^A215)</f>
        <v/>
      </c>
      <c r="E215" s="59">
        <f>baseCDI*(1+CDI_M)^A215</f>
        <v/>
      </c>
    </row>
    <row r="216">
      <c r="A216" t="n">
        <v>201</v>
      </c>
      <c r="B216" s="60">
        <f>IF(Vest_Tipo="Unico ao final",IF(A216&gt;=Vest_Total,1,0),IF(A216&lt;Cliff,0,IF(A216&gt;=Vest_Total,1,IF(AND(Cliff&gt;0,Vest_Total&gt;Cliff),(Cliff_Pct/100)+(1-(Cliff_Pct/100))*((A216-Cliff)/(Vest_Total-Cliff)),(Cliff_Pct/100)))))</f>
        <v/>
      </c>
      <c r="C216" s="59">
        <f>IF(Modalidade="Aquisicao direta",IF(A216&lt;Lockup_Aq,custoAq*(1+CDI_M)^A216,PartInt*(1+CAGR_M)^A216),IF(A216&lt;Vest_Total,B216*PartInt*(1+CAGR_M)^A216,IF(A216&lt;Vest_Total+Lockup_Vest,(PartInt*(1+CAGR_M)^Vest_Total)*(1+CDI_M)^(A216-Vest_Total),PartInt*(1+CAGR_M)^A216)))</f>
        <v/>
      </c>
      <c r="D216" s="59">
        <f>IF(Modalidade="Aquisicao direta",PartExt*(1+CAGR_M)^A216,B216*PartExt*(1+CAGR_M)^A216)</f>
        <v/>
      </c>
      <c r="E216" s="59">
        <f>baseCDI*(1+CDI_M)^A216</f>
        <v/>
      </c>
    </row>
    <row r="217">
      <c r="A217" t="n">
        <v>202</v>
      </c>
      <c r="B217" s="60">
        <f>IF(Vest_Tipo="Unico ao final",IF(A217&gt;=Vest_Total,1,0),IF(A217&lt;Cliff,0,IF(A217&gt;=Vest_Total,1,IF(AND(Cliff&gt;0,Vest_Total&gt;Cliff),(Cliff_Pct/100)+(1-(Cliff_Pct/100))*((A217-Cliff)/(Vest_Total-Cliff)),(Cliff_Pct/100)))))</f>
        <v/>
      </c>
      <c r="C217" s="59">
        <f>IF(Modalidade="Aquisicao direta",IF(A217&lt;Lockup_Aq,custoAq*(1+CDI_M)^A217,PartInt*(1+CAGR_M)^A217),IF(A217&lt;Vest_Total,B217*PartInt*(1+CAGR_M)^A217,IF(A217&lt;Vest_Total+Lockup_Vest,(PartInt*(1+CAGR_M)^Vest_Total)*(1+CDI_M)^(A217-Vest_Total),PartInt*(1+CAGR_M)^A217)))</f>
        <v/>
      </c>
      <c r="D217" s="59">
        <f>IF(Modalidade="Aquisicao direta",PartExt*(1+CAGR_M)^A217,B217*PartExt*(1+CAGR_M)^A217)</f>
        <v/>
      </c>
      <c r="E217" s="59">
        <f>baseCDI*(1+CDI_M)^A217</f>
        <v/>
      </c>
    </row>
    <row r="218">
      <c r="A218" t="n">
        <v>203</v>
      </c>
      <c r="B218" s="60">
        <f>IF(Vest_Tipo="Unico ao final",IF(A218&gt;=Vest_Total,1,0),IF(A218&lt;Cliff,0,IF(A218&gt;=Vest_Total,1,IF(AND(Cliff&gt;0,Vest_Total&gt;Cliff),(Cliff_Pct/100)+(1-(Cliff_Pct/100))*((A218-Cliff)/(Vest_Total-Cliff)),(Cliff_Pct/100)))))</f>
        <v/>
      </c>
      <c r="C218" s="59">
        <f>IF(Modalidade="Aquisicao direta",IF(A218&lt;Lockup_Aq,custoAq*(1+CDI_M)^A218,PartInt*(1+CAGR_M)^A218),IF(A218&lt;Vest_Total,B218*PartInt*(1+CAGR_M)^A218,IF(A218&lt;Vest_Total+Lockup_Vest,(PartInt*(1+CAGR_M)^Vest_Total)*(1+CDI_M)^(A218-Vest_Total),PartInt*(1+CAGR_M)^A218)))</f>
        <v/>
      </c>
      <c r="D218" s="59">
        <f>IF(Modalidade="Aquisicao direta",PartExt*(1+CAGR_M)^A218,B218*PartExt*(1+CAGR_M)^A218)</f>
        <v/>
      </c>
      <c r="E218" s="59">
        <f>baseCDI*(1+CDI_M)^A218</f>
        <v/>
      </c>
    </row>
    <row r="219">
      <c r="A219" t="n">
        <v>204</v>
      </c>
      <c r="B219" s="60">
        <f>IF(Vest_Tipo="Unico ao final",IF(A219&gt;=Vest_Total,1,0),IF(A219&lt;Cliff,0,IF(A219&gt;=Vest_Total,1,IF(AND(Cliff&gt;0,Vest_Total&gt;Cliff),(Cliff_Pct/100)+(1-(Cliff_Pct/100))*((A219-Cliff)/(Vest_Total-Cliff)),(Cliff_Pct/100)))))</f>
        <v/>
      </c>
      <c r="C219" s="59">
        <f>IF(Modalidade="Aquisicao direta",IF(A219&lt;Lockup_Aq,custoAq*(1+CDI_M)^A219,PartInt*(1+CAGR_M)^A219),IF(A219&lt;Vest_Total,B219*PartInt*(1+CAGR_M)^A219,IF(A219&lt;Vest_Total+Lockup_Vest,(PartInt*(1+CAGR_M)^Vest_Total)*(1+CDI_M)^(A219-Vest_Total),PartInt*(1+CAGR_M)^A219)))</f>
        <v/>
      </c>
      <c r="D219" s="59">
        <f>IF(Modalidade="Aquisicao direta",PartExt*(1+CAGR_M)^A219,B219*PartExt*(1+CAGR_M)^A219)</f>
        <v/>
      </c>
      <c r="E219" s="59">
        <f>baseCDI*(1+CDI_M)^A219</f>
        <v/>
      </c>
    </row>
    <row r="220">
      <c r="A220" t="n">
        <v>205</v>
      </c>
      <c r="B220" s="60">
        <f>IF(Vest_Tipo="Unico ao final",IF(A220&gt;=Vest_Total,1,0),IF(A220&lt;Cliff,0,IF(A220&gt;=Vest_Total,1,IF(AND(Cliff&gt;0,Vest_Total&gt;Cliff),(Cliff_Pct/100)+(1-(Cliff_Pct/100))*((A220-Cliff)/(Vest_Total-Cliff)),(Cliff_Pct/100)))))</f>
        <v/>
      </c>
      <c r="C220" s="59">
        <f>IF(Modalidade="Aquisicao direta",IF(A220&lt;Lockup_Aq,custoAq*(1+CDI_M)^A220,PartInt*(1+CAGR_M)^A220),IF(A220&lt;Vest_Total,B220*PartInt*(1+CAGR_M)^A220,IF(A220&lt;Vest_Total+Lockup_Vest,(PartInt*(1+CAGR_M)^Vest_Total)*(1+CDI_M)^(A220-Vest_Total),PartInt*(1+CAGR_M)^A220)))</f>
        <v/>
      </c>
      <c r="D220" s="59">
        <f>IF(Modalidade="Aquisicao direta",PartExt*(1+CAGR_M)^A220,B220*PartExt*(1+CAGR_M)^A220)</f>
        <v/>
      </c>
      <c r="E220" s="59">
        <f>baseCDI*(1+CDI_M)^A220</f>
        <v/>
      </c>
    </row>
    <row r="221">
      <c r="A221" t="n">
        <v>206</v>
      </c>
      <c r="B221" s="60">
        <f>IF(Vest_Tipo="Unico ao final",IF(A221&gt;=Vest_Total,1,0),IF(A221&lt;Cliff,0,IF(A221&gt;=Vest_Total,1,IF(AND(Cliff&gt;0,Vest_Total&gt;Cliff),(Cliff_Pct/100)+(1-(Cliff_Pct/100))*((A221-Cliff)/(Vest_Total-Cliff)),(Cliff_Pct/100)))))</f>
        <v/>
      </c>
      <c r="C221" s="59">
        <f>IF(Modalidade="Aquisicao direta",IF(A221&lt;Lockup_Aq,custoAq*(1+CDI_M)^A221,PartInt*(1+CAGR_M)^A221),IF(A221&lt;Vest_Total,B221*PartInt*(1+CAGR_M)^A221,IF(A221&lt;Vest_Total+Lockup_Vest,(PartInt*(1+CAGR_M)^Vest_Total)*(1+CDI_M)^(A221-Vest_Total),PartInt*(1+CAGR_M)^A221)))</f>
        <v/>
      </c>
      <c r="D221" s="59">
        <f>IF(Modalidade="Aquisicao direta",PartExt*(1+CAGR_M)^A221,B221*PartExt*(1+CAGR_M)^A221)</f>
        <v/>
      </c>
      <c r="E221" s="59">
        <f>baseCDI*(1+CDI_M)^A221</f>
        <v/>
      </c>
    </row>
    <row r="222">
      <c r="A222" t="n">
        <v>207</v>
      </c>
      <c r="B222" s="60">
        <f>IF(Vest_Tipo="Unico ao final",IF(A222&gt;=Vest_Total,1,0),IF(A222&lt;Cliff,0,IF(A222&gt;=Vest_Total,1,IF(AND(Cliff&gt;0,Vest_Total&gt;Cliff),(Cliff_Pct/100)+(1-(Cliff_Pct/100))*((A222-Cliff)/(Vest_Total-Cliff)),(Cliff_Pct/100)))))</f>
        <v/>
      </c>
      <c r="C222" s="59">
        <f>IF(Modalidade="Aquisicao direta",IF(A222&lt;Lockup_Aq,custoAq*(1+CDI_M)^A222,PartInt*(1+CAGR_M)^A222),IF(A222&lt;Vest_Total,B222*PartInt*(1+CAGR_M)^A222,IF(A222&lt;Vest_Total+Lockup_Vest,(PartInt*(1+CAGR_M)^Vest_Total)*(1+CDI_M)^(A222-Vest_Total),PartInt*(1+CAGR_M)^A222)))</f>
        <v/>
      </c>
      <c r="D222" s="59">
        <f>IF(Modalidade="Aquisicao direta",PartExt*(1+CAGR_M)^A222,B222*PartExt*(1+CAGR_M)^A222)</f>
        <v/>
      </c>
      <c r="E222" s="59">
        <f>baseCDI*(1+CDI_M)^A222</f>
        <v/>
      </c>
    </row>
    <row r="223">
      <c r="A223" t="n">
        <v>208</v>
      </c>
      <c r="B223" s="60">
        <f>IF(Vest_Tipo="Unico ao final",IF(A223&gt;=Vest_Total,1,0),IF(A223&lt;Cliff,0,IF(A223&gt;=Vest_Total,1,IF(AND(Cliff&gt;0,Vest_Total&gt;Cliff),(Cliff_Pct/100)+(1-(Cliff_Pct/100))*((A223-Cliff)/(Vest_Total-Cliff)),(Cliff_Pct/100)))))</f>
        <v/>
      </c>
      <c r="C223" s="59">
        <f>IF(Modalidade="Aquisicao direta",IF(A223&lt;Lockup_Aq,custoAq*(1+CDI_M)^A223,PartInt*(1+CAGR_M)^A223),IF(A223&lt;Vest_Total,B223*PartInt*(1+CAGR_M)^A223,IF(A223&lt;Vest_Total+Lockup_Vest,(PartInt*(1+CAGR_M)^Vest_Total)*(1+CDI_M)^(A223-Vest_Total),PartInt*(1+CAGR_M)^A223)))</f>
        <v/>
      </c>
      <c r="D223" s="59">
        <f>IF(Modalidade="Aquisicao direta",PartExt*(1+CAGR_M)^A223,B223*PartExt*(1+CAGR_M)^A223)</f>
        <v/>
      </c>
      <c r="E223" s="59">
        <f>baseCDI*(1+CDI_M)^A223</f>
        <v/>
      </c>
    </row>
    <row r="224">
      <c r="A224" t="n">
        <v>209</v>
      </c>
      <c r="B224" s="60">
        <f>IF(Vest_Tipo="Unico ao final",IF(A224&gt;=Vest_Total,1,0),IF(A224&lt;Cliff,0,IF(A224&gt;=Vest_Total,1,IF(AND(Cliff&gt;0,Vest_Total&gt;Cliff),(Cliff_Pct/100)+(1-(Cliff_Pct/100))*((A224-Cliff)/(Vest_Total-Cliff)),(Cliff_Pct/100)))))</f>
        <v/>
      </c>
      <c r="C224" s="59">
        <f>IF(Modalidade="Aquisicao direta",IF(A224&lt;Lockup_Aq,custoAq*(1+CDI_M)^A224,PartInt*(1+CAGR_M)^A224),IF(A224&lt;Vest_Total,B224*PartInt*(1+CAGR_M)^A224,IF(A224&lt;Vest_Total+Lockup_Vest,(PartInt*(1+CAGR_M)^Vest_Total)*(1+CDI_M)^(A224-Vest_Total),PartInt*(1+CAGR_M)^A224)))</f>
        <v/>
      </c>
      <c r="D224" s="59">
        <f>IF(Modalidade="Aquisicao direta",PartExt*(1+CAGR_M)^A224,B224*PartExt*(1+CAGR_M)^A224)</f>
        <v/>
      </c>
      <c r="E224" s="59">
        <f>baseCDI*(1+CDI_M)^A224</f>
        <v/>
      </c>
    </row>
    <row r="225">
      <c r="A225" t="n">
        <v>210</v>
      </c>
      <c r="B225" s="60">
        <f>IF(Vest_Tipo="Unico ao final",IF(A225&gt;=Vest_Total,1,0),IF(A225&lt;Cliff,0,IF(A225&gt;=Vest_Total,1,IF(AND(Cliff&gt;0,Vest_Total&gt;Cliff),(Cliff_Pct/100)+(1-(Cliff_Pct/100))*((A225-Cliff)/(Vest_Total-Cliff)),(Cliff_Pct/100)))))</f>
        <v/>
      </c>
      <c r="C225" s="59">
        <f>IF(Modalidade="Aquisicao direta",IF(A225&lt;Lockup_Aq,custoAq*(1+CDI_M)^A225,PartInt*(1+CAGR_M)^A225),IF(A225&lt;Vest_Total,B225*PartInt*(1+CAGR_M)^A225,IF(A225&lt;Vest_Total+Lockup_Vest,(PartInt*(1+CAGR_M)^Vest_Total)*(1+CDI_M)^(A225-Vest_Total),PartInt*(1+CAGR_M)^A225)))</f>
        <v/>
      </c>
      <c r="D225" s="59">
        <f>IF(Modalidade="Aquisicao direta",PartExt*(1+CAGR_M)^A225,B225*PartExt*(1+CAGR_M)^A225)</f>
        <v/>
      </c>
      <c r="E225" s="59">
        <f>baseCDI*(1+CDI_M)^A225</f>
        <v/>
      </c>
    </row>
    <row r="226">
      <c r="A226" t="n">
        <v>211</v>
      </c>
      <c r="B226" s="60">
        <f>IF(Vest_Tipo="Unico ao final",IF(A226&gt;=Vest_Total,1,0),IF(A226&lt;Cliff,0,IF(A226&gt;=Vest_Total,1,IF(AND(Cliff&gt;0,Vest_Total&gt;Cliff),(Cliff_Pct/100)+(1-(Cliff_Pct/100))*((A226-Cliff)/(Vest_Total-Cliff)),(Cliff_Pct/100)))))</f>
        <v/>
      </c>
      <c r="C226" s="59">
        <f>IF(Modalidade="Aquisicao direta",IF(A226&lt;Lockup_Aq,custoAq*(1+CDI_M)^A226,PartInt*(1+CAGR_M)^A226),IF(A226&lt;Vest_Total,B226*PartInt*(1+CAGR_M)^A226,IF(A226&lt;Vest_Total+Lockup_Vest,(PartInt*(1+CAGR_M)^Vest_Total)*(1+CDI_M)^(A226-Vest_Total),PartInt*(1+CAGR_M)^A226)))</f>
        <v/>
      </c>
      <c r="D226" s="59">
        <f>IF(Modalidade="Aquisicao direta",PartExt*(1+CAGR_M)^A226,B226*PartExt*(1+CAGR_M)^A226)</f>
        <v/>
      </c>
      <c r="E226" s="59">
        <f>baseCDI*(1+CDI_M)^A226</f>
        <v/>
      </c>
    </row>
    <row r="227">
      <c r="A227" t="n">
        <v>212</v>
      </c>
      <c r="B227" s="60">
        <f>IF(Vest_Tipo="Unico ao final",IF(A227&gt;=Vest_Total,1,0),IF(A227&lt;Cliff,0,IF(A227&gt;=Vest_Total,1,IF(AND(Cliff&gt;0,Vest_Total&gt;Cliff),(Cliff_Pct/100)+(1-(Cliff_Pct/100))*((A227-Cliff)/(Vest_Total-Cliff)),(Cliff_Pct/100)))))</f>
        <v/>
      </c>
      <c r="C227" s="59">
        <f>IF(Modalidade="Aquisicao direta",IF(A227&lt;Lockup_Aq,custoAq*(1+CDI_M)^A227,PartInt*(1+CAGR_M)^A227),IF(A227&lt;Vest_Total,B227*PartInt*(1+CAGR_M)^A227,IF(A227&lt;Vest_Total+Lockup_Vest,(PartInt*(1+CAGR_M)^Vest_Total)*(1+CDI_M)^(A227-Vest_Total),PartInt*(1+CAGR_M)^A227)))</f>
        <v/>
      </c>
      <c r="D227" s="59">
        <f>IF(Modalidade="Aquisicao direta",PartExt*(1+CAGR_M)^A227,B227*PartExt*(1+CAGR_M)^A227)</f>
        <v/>
      </c>
      <c r="E227" s="59">
        <f>baseCDI*(1+CDI_M)^A227</f>
        <v/>
      </c>
    </row>
    <row r="228">
      <c r="A228" t="n">
        <v>213</v>
      </c>
      <c r="B228" s="60">
        <f>IF(Vest_Tipo="Unico ao final",IF(A228&gt;=Vest_Total,1,0),IF(A228&lt;Cliff,0,IF(A228&gt;=Vest_Total,1,IF(AND(Cliff&gt;0,Vest_Total&gt;Cliff),(Cliff_Pct/100)+(1-(Cliff_Pct/100))*((A228-Cliff)/(Vest_Total-Cliff)),(Cliff_Pct/100)))))</f>
        <v/>
      </c>
      <c r="C228" s="59">
        <f>IF(Modalidade="Aquisicao direta",IF(A228&lt;Lockup_Aq,custoAq*(1+CDI_M)^A228,PartInt*(1+CAGR_M)^A228),IF(A228&lt;Vest_Total,B228*PartInt*(1+CAGR_M)^A228,IF(A228&lt;Vest_Total+Lockup_Vest,(PartInt*(1+CAGR_M)^Vest_Total)*(1+CDI_M)^(A228-Vest_Total),PartInt*(1+CAGR_M)^A228)))</f>
        <v/>
      </c>
      <c r="D228" s="59">
        <f>IF(Modalidade="Aquisicao direta",PartExt*(1+CAGR_M)^A228,B228*PartExt*(1+CAGR_M)^A228)</f>
        <v/>
      </c>
      <c r="E228" s="59">
        <f>baseCDI*(1+CDI_M)^A228</f>
        <v/>
      </c>
    </row>
    <row r="229">
      <c r="A229" t="n">
        <v>214</v>
      </c>
      <c r="B229" s="60">
        <f>IF(Vest_Tipo="Unico ao final",IF(A229&gt;=Vest_Total,1,0),IF(A229&lt;Cliff,0,IF(A229&gt;=Vest_Total,1,IF(AND(Cliff&gt;0,Vest_Total&gt;Cliff),(Cliff_Pct/100)+(1-(Cliff_Pct/100))*((A229-Cliff)/(Vest_Total-Cliff)),(Cliff_Pct/100)))))</f>
        <v/>
      </c>
      <c r="C229" s="59">
        <f>IF(Modalidade="Aquisicao direta",IF(A229&lt;Lockup_Aq,custoAq*(1+CDI_M)^A229,PartInt*(1+CAGR_M)^A229),IF(A229&lt;Vest_Total,B229*PartInt*(1+CAGR_M)^A229,IF(A229&lt;Vest_Total+Lockup_Vest,(PartInt*(1+CAGR_M)^Vest_Total)*(1+CDI_M)^(A229-Vest_Total),PartInt*(1+CAGR_M)^A229)))</f>
        <v/>
      </c>
      <c r="D229" s="59">
        <f>IF(Modalidade="Aquisicao direta",PartExt*(1+CAGR_M)^A229,B229*PartExt*(1+CAGR_M)^A229)</f>
        <v/>
      </c>
      <c r="E229" s="59">
        <f>baseCDI*(1+CDI_M)^A229</f>
        <v/>
      </c>
    </row>
    <row r="230">
      <c r="A230" t="n">
        <v>215</v>
      </c>
      <c r="B230" s="60">
        <f>IF(Vest_Tipo="Unico ao final",IF(A230&gt;=Vest_Total,1,0),IF(A230&lt;Cliff,0,IF(A230&gt;=Vest_Total,1,IF(AND(Cliff&gt;0,Vest_Total&gt;Cliff),(Cliff_Pct/100)+(1-(Cliff_Pct/100))*((A230-Cliff)/(Vest_Total-Cliff)),(Cliff_Pct/100)))))</f>
        <v/>
      </c>
      <c r="C230" s="59">
        <f>IF(Modalidade="Aquisicao direta",IF(A230&lt;Lockup_Aq,custoAq*(1+CDI_M)^A230,PartInt*(1+CAGR_M)^A230),IF(A230&lt;Vest_Total,B230*PartInt*(1+CAGR_M)^A230,IF(A230&lt;Vest_Total+Lockup_Vest,(PartInt*(1+CAGR_M)^Vest_Total)*(1+CDI_M)^(A230-Vest_Total),PartInt*(1+CAGR_M)^A230)))</f>
        <v/>
      </c>
      <c r="D230" s="59">
        <f>IF(Modalidade="Aquisicao direta",PartExt*(1+CAGR_M)^A230,B230*PartExt*(1+CAGR_M)^A230)</f>
        <v/>
      </c>
      <c r="E230" s="59">
        <f>baseCDI*(1+CDI_M)^A230</f>
        <v/>
      </c>
    </row>
    <row r="231">
      <c r="A231" t="n">
        <v>216</v>
      </c>
      <c r="B231" s="60">
        <f>IF(Vest_Tipo="Unico ao final",IF(A231&gt;=Vest_Total,1,0),IF(A231&lt;Cliff,0,IF(A231&gt;=Vest_Total,1,IF(AND(Cliff&gt;0,Vest_Total&gt;Cliff),(Cliff_Pct/100)+(1-(Cliff_Pct/100))*((A231-Cliff)/(Vest_Total-Cliff)),(Cliff_Pct/100)))))</f>
        <v/>
      </c>
      <c r="C231" s="59">
        <f>IF(Modalidade="Aquisicao direta",IF(A231&lt;Lockup_Aq,custoAq*(1+CDI_M)^A231,PartInt*(1+CAGR_M)^A231),IF(A231&lt;Vest_Total,B231*PartInt*(1+CAGR_M)^A231,IF(A231&lt;Vest_Total+Lockup_Vest,(PartInt*(1+CAGR_M)^Vest_Total)*(1+CDI_M)^(A231-Vest_Total),PartInt*(1+CAGR_M)^A231)))</f>
        <v/>
      </c>
      <c r="D231" s="59">
        <f>IF(Modalidade="Aquisicao direta",PartExt*(1+CAGR_M)^A231,B231*PartExt*(1+CAGR_M)^A231)</f>
        <v/>
      </c>
      <c r="E231" s="59">
        <f>baseCDI*(1+CDI_M)^A231</f>
        <v/>
      </c>
    </row>
    <row r="232">
      <c r="A232" t="n">
        <v>217</v>
      </c>
      <c r="B232" s="60">
        <f>IF(Vest_Tipo="Unico ao final",IF(A232&gt;=Vest_Total,1,0),IF(A232&lt;Cliff,0,IF(A232&gt;=Vest_Total,1,IF(AND(Cliff&gt;0,Vest_Total&gt;Cliff),(Cliff_Pct/100)+(1-(Cliff_Pct/100))*((A232-Cliff)/(Vest_Total-Cliff)),(Cliff_Pct/100)))))</f>
        <v/>
      </c>
      <c r="C232" s="59">
        <f>IF(Modalidade="Aquisicao direta",IF(A232&lt;Lockup_Aq,custoAq*(1+CDI_M)^A232,PartInt*(1+CAGR_M)^A232),IF(A232&lt;Vest_Total,B232*PartInt*(1+CAGR_M)^A232,IF(A232&lt;Vest_Total+Lockup_Vest,(PartInt*(1+CAGR_M)^Vest_Total)*(1+CDI_M)^(A232-Vest_Total),PartInt*(1+CAGR_M)^A232)))</f>
        <v/>
      </c>
      <c r="D232" s="59">
        <f>IF(Modalidade="Aquisicao direta",PartExt*(1+CAGR_M)^A232,B232*PartExt*(1+CAGR_M)^A232)</f>
        <v/>
      </c>
      <c r="E232" s="59">
        <f>baseCDI*(1+CDI_M)^A232</f>
        <v/>
      </c>
    </row>
    <row r="233">
      <c r="A233" t="n">
        <v>218</v>
      </c>
      <c r="B233" s="60">
        <f>IF(Vest_Tipo="Unico ao final",IF(A233&gt;=Vest_Total,1,0),IF(A233&lt;Cliff,0,IF(A233&gt;=Vest_Total,1,IF(AND(Cliff&gt;0,Vest_Total&gt;Cliff),(Cliff_Pct/100)+(1-(Cliff_Pct/100))*((A233-Cliff)/(Vest_Total-Cliff)),(Cliff_Pct/100)))))</f>
        <v/>
      </c>
      <c r="C233" s="59">
        <f>IF(Modalidade="Aquisicao direta",IF(A233&lt;Lockup_Aq,custoAq*(1+CDI_M)^A233,PartInt*(1+CAGR_M)^A233),IF(A233&lt;Vest_Total,B233*PartInt*(1+CAGR_M)^A233,IF(A233&lt;Vest_Total+Lockup_Vest,(PartInt*(1+CAGR_M)^Vest_Total)*(1+CDI_M)^(A233-Vest_Total),PartInt*(1+CAGR_M)^A233)))</f>
        <v/>
      </c>
      <c r="D233" s="59">
        <f>IF(Modalidade="Aquisicao direta",PartExt*(1+CAGR_M)^A233,B233*PartExt*(1+CAGR_M)^A233)</f>
        <v/>
      </c>
      <c r="E233" s="59">
        <f>baseCDI*(1+CDI_M)^A233</f>
        <v/>
      </c>
    </row>
    <row r="234">
      <c r="A234" t="n">
        <v>219</v>
      </c>
      <c r="B234" s="60">
        <f>IF(Vest_Tipo="Unico ao final",IF(A234&gt;=Vest_Total,1,0),IF(A234&lt;Cliff,0,IF(A234&gt;=Vest_Total,1,IF(AND(Cliff&gt;0,Vest_Total&gt;Cliff),(Cliff_Pct/100)+(1-(Cliff_Pct/100))*((A234-Cliff)/(Vest_Total-Cliff)),(Cliff_Pct/100)))))</f>
        <v/>
      </c>
      <c r="C234" s="59">
        <f>IF(Modalidade="Aquisicao direta",IF(A234&lt;Lockup_Aq,custoAq*(1+CDI_M)^A234,PartInt*(1+CAGR_M)^A234),IF(A234&lt;Vest_Total,B234*PartInt*(1+CAGR_M)^A234,IF(A234&lt;Vest_Total+Lockup_Vest,(PartInt*(1+CAGR_M)^Vest_Total)*(1+CDI_M)^(A234-Vest_Total),PartInt*(1+CAGR_M)^A234)))</f>
        <v/>
      </c>
      <c r="D234" s="59">
        <f>IF(Modalidade="Aquisicao direta",PartExt*(1+CAGR_M)^A234,B234*PartExt*(1+CAGR_M)^A234)</f>
        <v/>
      </c>
      <c r="E234" s="59">
        <f>baseCDI*(1+CDI_M)^A234</f>
        <v/>
      </c>
    </row>
    <row r="235">
      <c r="A235" t="n">
        <v>220</v>
      </c>
      <c r="B235" s="60">
        <f>IF(Vest_Tipo="Unico ao final",IF(A235&gt;=Vest_Total,1,0),IF(A235&lt;Cliff,0,IF(A235&gt;=Vest_Total,1,IF(AND(Cliff&gt;0,Vest_Total&gt;Cliff),(Cliff_Pct/100)+(1-(Cliff_Pct/100))*((A235-Cliff)/(Vest_Total-Cliff)),(Cliff_Pct/100)))))</f>
        <v/>
      </c>
      <c r="C235" s="59">
        <f>IF(Modalidade="Aquisicao direta",IF(A235&lt;Lockup_Aq,custoAq*(1+CDI_M)^A235,PartInt*(1+CAGR_M)^A235),IF(A235&lt;Vest_Total,B235*PartInt*(1+CAGR_M)^A235,IF(A235&lt;Vest_Total+Lockup_Vest,(PartInt*(1+CAGR_M)^Vest_Total)*(1+CDI_M)^(A235-Vest_Total),PartInt*(1+CAGR_M)^A235)))</f>
        <v/>
      </c>
      <c r="D235" s="59">
        <f>IF(Modalidade="Aquisicao direta",PartExt*(1+CAGR_M)^A235,B235*PartExt*(1+CAGR_M)^A235)</f>
        <v/>
      </c>
      <c r="E235" s="59">
        <f>baseCDI*(1+CDI_M)^A235</f>
        <v/>
      </c>
    </row>
    <row r="236">
      <c r="A236" t="n">
        <v>221</v>
      </c>
      <c r="B236" s="60">
        <f>IF(Vest_Tipo="Unico ao final",IF(A236&gt;=Vest_Total,1,0),IF(A236&lt;Cliff,0,IF(A236&gt;=Vest_Total,1,IF(AND(Cliff&gt;0,Vest_Total&gt;Cliff),(Cliff_Pct/100)+(1-(Cliff_Pct/100))*((A236-Cliff)/(Vest_Total-Cliff)),(Cliff_Pct/100)))))</f>
        <v/>
      </c>
      <c r="C236" s="59">
        <f>IF(Modalidade="Aquisicao direta",IF(A236&lt;Lockup_Aq,custoAq*(1+CDI_M)^A236,PartInt*(1+CAGR_M)^A236),IF(A236&lt;Vest_Total,B236*PartInt*(1+CAGR_M)^A236,IF(A236&lt;Vest_Total+Lockup_Vest,(PartInt*(1+CAGR_M)^Vest_Total)*(1+CDI_M)^(A236-Vest_Total),PartInt*(1+CAGR_M)^A236)))</f>
        <v/>
      </c>
      <c r="D236" s="59">
        <f>IF(Modalidade="Aquisicao direta",PartExt*(1+CAGR_M)^A236,B236*PartExt*(1+CAGR_M)^A236)</f>
        <v/>
      </c>
      <c r="E236" s="59">
        <f>baseCDI*(1+CDI_M)^A236</f>
        <v/>
      </c>
    </row>
    <row r="237">
      <c r="A237" t="n">
        <v>222</v>
      </c>
      <c r="B237" s="60">
        <f>IF(Vest_Tipo="Unico ao final",IF(A237&gt;=Vest_Total,1,0),IF(A237&lt;Cliff,0,IF(A237&gt;=Vest_Total,1,IF(AND(Cliff&gt;0,Vest_Total&gt;Cliff),(Cliff_Pct/100)+(1-(Cliff_Pct/100))*((A237-Cliff)/(Vest_Total-Cliff)),(Cliff_Pct/100)))))</f>
        <v/>
      </c>
      <c r="C237" s="59">
        <f>IF(Modalidade="Aquisicao direta",IF(A237&lt;Lockup_Aq,custoAq*(1+CDI_M)^A237,PartInt*(1+CAGR_M)^A237),IF(A237&lt;Vest_Total,B237*PartInt*(1+CAGR_M)^A237,IF(A237&lt;Vest_Total+Lockup_Vest,(PartInt*(1+CAGR_M)^Vest_Total)*(1+CDI_M)^(A237-Vest_Total),PartInt*(1+CAGR_M)^A237)))</f>
        <v/>
      </c>
      <c r="D237" s="59">
        <f>IF(Modalidade="Aquisicao direta",PartExt*(1+CAGR_M)^A237,B237*PartExt*(1+CAGR_M)^A237)</f>
        <v/>
      </c>
      <c r="E237" s="59">
        <f>baseCDI*(1+CDI_M)^A237</f>
        <v/>
      </c>
    </row>
    <row r="238">
      <c r="A238" t="n">
        <v>223</v>
      </c>
      <c r="B238" s="60">
        <f>IF(Vest_Tipo="Unico ao final",IF(A238&gt;=Vest_Total,1,0),IF(A238&lt;Cliff,0,IF(A238&gt;=Vest_Total,1,IF(AND(Cliff&gt;0,Vest_Total&gt;Cliff),(Cliff_Pct/100)+(1-(Cliff_Pct/100))*((A238-Cliff)/(Vest_Total-Cliff)),(Cliff_Pct/100)))))</f>
        <v/>
      </c>
      <c r="C238" s="59">
        <f>IF(Modalidade="Aquisicao direta",IF(A238&lt;Lockup_Aq,custoAq*(1+CDI_M)^A238,PartInt*(1+CAGR_M)^A238),IF(A238&lt;Vest_Total,B238*PartInt*(1+CAGR_M)^A238,IF(A238&lt;Vest_Total+Lockup_Vest,(PartInt*(1+CAGR_M)^Vest_Total)*(1+CDI_M)^(A238-Vest_Total),PartInt*(1+CAGR_M)^A238)))</f>
        <v/>
      </c>
      <c r="D238" s="59">
        <f>IF(Modalidade="Aquisicao direta",PartExt*(1+CAGR_M)^A238,B238*PartExt*(1+CAGR_M)^A238)</f>
        <v/>
      </c>
      <c r="E238" s="59">
        <f>baseCDI*(1+CDI_M)^A238</f>
        <v/>
      </c>
    </row>
    <row r="239">
      <c r="A239" t="n">
        <v>224</v>
      </c>
      <c r="B239" s="60">
        <f>IF(Vest_Tipo="Unico ao final",IF(A239&gt;=Vest_Total,1,0),IF(A239&lt;Cliff,0,IF(A239&gt;=Vest_Total,1,IF(AND(Cliff&gt;0,Vest_Total&gt;Cliff),(Cliff_Pct/100)+(1-(Cliff_Pct/100))*((A239-Cliff)/(Vest_Total-Cliff)),(Cliff_Pct/100)))))</f>
        <v/>
      </c>
      <c r="C239" s="59">
        <f>IF(Modalidade="Aquisicao direta",IF(A239&lt;Lockup_Aq,custoAq*(1+CDI_M)^A239,PartInt*(1+CAGR_M)^A239),IF(A239&lt;Vest_Total,B239*PartInt*(1+CAGR_M)^A239,IF(A239&lt;Vest_Total+Lockup_Vest,(PartInt*(1+CAGR_M)^Vest_Total)*(1+CDI_M)^(A239-Vest_Total),PartInt*(1+CAGR_M)^A239)))</f>
        <v/>
      </c>
      <c r="D239" s="59">
        <f>IF(Modalidade="Aquisicao direta",PartExt*(1+CAGR_M)^A239,B239*PartExt*(1+CAGR_M)^A239)</f>
        <v/>
      </c>
      <c r="E239" s="59">
        <f>baseCDI*(1+CDI_M)^A239</f>
        <v/>
      </c>
    </row>
    <row r="240">
      <c r="A240" t="n">
        <v>225</v>
      </c>
      <c r="B240" s="60">
        <f>IF(Vest_Tipo="Unico ao final",IF(A240&gt;=Vest_Total,1,0),IF(A240&lt;Cliff,0,IF(A240&gt;=Vest_Total,1,IF(AND(Cliff&gt;0,Vest_Total&gt;Cliff),(Cliff_Pct/100)+(1-(Cliff_Pct/100))*((A240-Cliff)/(Vest_Total-Cliff)),(Cliff_Pct/100)))))</f>
        <v/>
      </c>
      <c r="C240" s="59">
        <f>IF(Modalidade="Aquisicao direta",IF(A240&lt;Lockup_Aq,custoAq*(1+CDI_M)^A240,PartInt*(1+CAGR_M)^A240),IF(A240&lt;Vest_Total,B240*PartInt*(1+CAGR_M)^A240,IF(A240&lt;Vest_Total+Lockup_Vest,(PartInt*(1+CAGR_M)^Vest_Total)*(1+CDI_M)^(A240-Vest_Total),PartInt*(1+CAGR_M)^A240)))</f>
        <v/>
      </c>
      <c r="D240" s="59">
        <f>IF(Modalidade="Aquisicao direta",PartExt*(1+CAGR_M)^A240,B240*PartExt*(1+CAGR_M)^A240)</f>
        <v/>
      </c>
      <c r="E240" s="59">
        <f>baseCDI*(1+CDI_M)^A240</f>
        <v/>
      </c>
    </row>
    <row r="241">
      <c r="A241" t="n">
        <v>226</v>
      </c>
      <c r="B241" s="60">
        <f>IF(Vest_Tipo="Unico ao final",IF(A241&gt;=Vest_Total,1,0),IF(A241&lt;Cliff,0,IF(A241&gt;=Vest_Total,1,IF(AND(Cliff&gt;0,Vest_Total&gt;Cliff),(Cliff_Pct/100)+(1-(Cliff_Pct/100))*((A241-Cliff)/(Vest_Total-Cliff)),(Cliff_Pct/100)))))</f>
        <v/>
      </c>
      <c r="C241" s="59">
        <f>IF(Modalidade="Aquisicao direta",IF(A241&lt;Lockup_Aq,custoAq*(1+CDI_M)^A241,PartInt*(1+CAGR_M)^A241),IF(A241&lt;Vest_Total,B241*PartInt*(1+CAGR_M)^A241,IF(A241&lt;Vest_Total+Lockup_Vest,(PartInt*(1+CAGR_M)^Vest_Total)*(1+CDI_M)^(A241-Vest_Total),PartInt*(1+CAGR_M)^A241)))</f>
        <v/>
      </c>
      <c r="D241" s="59">
        <f>IF(Modalidade="Aquisicao direta",PartExt*(1+CAGR_M)^A241,B241*PartExt*(1+CAGR_M)^A241)</f>
        <v/>
      </c>
      <c r="E241" s="59">
        <f>baseCDI*(1+CDI_M)^A241</f>
        <v/>
      </c>
    </row>
    <row r="242">
      <c r="A242" t="n">
        <v>227</v>
      </c>
      <c r="B242" s="60">
        <f>IF(Vest_Tipo="Unico ao final",IF(A242&gt;=Vest_Total,1,0),IF(A242&lt;Cliff,0,IF(A242&gt;=Vest_Total,1,IF(AND(Cliff&gt;0,Vest_Total&gt;Cliff),(Cliff_Pct/100)+(1-(Cliff_Pct/100))*((A242-Cliff)/(Vest_Total-Cliff)),(Cliff_Pct/100)))))</f>
        <v/>
      </c>
      <c r="C242" s="59">
        <f>IF(Modalidade="Aquisicao direta",IF(A242&lt;Lockup_Aq,custoAq*(1+CDI_M)^A242,PartInt*(1+CAGR_M)^A242),IF(A242&lt;Vest_Total,B242*PartInt*(1+CAGR_M)^A242,IF(A242&lt;Vest_Total+Lockup_Vest,(PartInt*(1+CAGR_M)^Vest_Total)*(1+CDI_M)^(A242-Vest_Total),PartInt*(1+CAGR_M)^A242)))</f>
        <v/>
      </c>
      <c r="D242" s="59">
        <f>IF(Modalidade="Aquisicao direta",PartExt*(1+CAGR_M)^A242,B242*PartExt*(1+CAGR_M)^A242)</f>
        <v/>
      </c>
      <c r="E242" s="59">
        <f>baseCDI*(1+CDI_M)^A242</f>
        <v/>
      </c>
    </row>
    <row r="243">
      <c r="A243" t="n">
        <v>228</v>
      </c>
      <c r="B243" s="60">
        <f>IF(Vest_Tipo="Unico ao final",IF(A243&gt;=Vest_Total,1,0),IF(A243&lt;Cliff,0,IF(A243&gt;=Vest_Total,1,IF(AND(Cliff&gt;0,Vest_Total&gt;Cliff),(Cliff_Pct/100)+(1-(Cliff_Pct/100))*((A243-Cliff)/(Vest_Total-Cliff)),(Cliff_Pct/100)))))</f>
        <v/>
      </c>
      <c r="C243" s="59">
        <f>IF(Modalidade="Aquisicao direta",IF(A243&lt;Lockup_Aq,custoAq*(1+CDI_M)^A243,PartInt*(1+CAGR_M)^A243),IF(A243&lt;Vest_Total,B243*PartInt*(1+CAGR_M)^A243,IF(A243&lt;Vest_Total+Lockup_Vest,(PartInt*(1+CAGR_M)^Vest_Total)*(1+CDI_M)^(A243-Vest_Total),PartInt*(1+CAGR_M)^A243)))</f>
        <v/>
      </c>
      <c r="D243" s="59">
        <f>IF(Modalidade="Aquisicao direta",PartExt*(1+CAGR_M)^A243,B243*PartExt*(1+CAGR_M)^A243)</f>
        <v/>
      </c>
      <c r="E243" s="59">
        <f>baseCDI*(1+CDI_M)^A243</f>
        <v/>
      </c>
    </row>
    <row r="244">
      <c r="A244" t="n">
        <v>229</v>
      </c>
      <c r="B244" s="60">
        <f>IF(Vest_Tipo="Unico ao final",IF(A244&gt;=Vest_Total,1,0),IF(A244&lt;Cliff,0,IF(A244&gt;=Vest_Total,1,IF(AND(Cliff&gt;0,Vest_Total&gt;Cliff),(Cliff_Pct/100)+(1-(Cliff_Pct/100))*((A244-Cliff)/(Vest_Total-Cliff)),(Cliff_Pct/100)))))</f>
        <v/>
      </c>
      <c r="C244" s="59">
        <f>IF(Modalidade="Aquisicao direta",IF(A244&lt;Lockup_Aq,custoAq*(1+CDI_M)^A244,PartInt*(1+CAGR_M)^A244),IF(A244&lt;Vest_Total,B244*PartInt*(1+CAGR_M)^A244,IF(A244&lt;Vest_Total+Lockup_Vest,(PartInt*(1+CAGR_M)^Vest_Total)*(1+CDI_M)^(A244-Vest_Total),PartInt*(1+CAGR_M)^A244)))</f>
        <v/>
      </c>
      <c r="D244" s="59">
        <f>IF(Modalidade="Aquisicao direta",PartExt*(1+CAGR_M)^A244,B244*PartExt*(1+CAGR_M)^A244)</f>
        <v/>
      </c>
      <c r="E244" s="59">
        <f>baseCDI*(1+CDI_M)^A244</f>
        <v/>
      </c>
    </row>
    <row r="245">
      <c r="A245" t="n">
        <v>230</v>
      </c>
      <c r="B245" s="60">
        <f>IF(Vest_Tipo="Unico ao final",IF(A245&gt;=Vest_Total,1,0),IF(A245&lt;Cliff,0,IF(A245&gt;=Vest_Total,1,IF(AND(Cliff&gt;0,Vest_Total&gt;Cliff),(Cliff_Pct/100)+(1-(Cliff_Pct/100))*((A245-Cliff)/(Vest_Total-Cliff)),(Cliff_Pct/100)))))</f>
        <v/>
      </c>
      <c r="C245" s="59">
        <f>IF(Modalidade="Aquisicao direta",IF(A245&lt;Lockup_Aq,custoAq*(1+CDI_M)^A245,PartInt*(1+CAGR_M)^A245),IF(A245&lt;Vest_Total,B245*PartInt*(1+CAGR_M)^A245,IF(A245&lt;Vest_Total+Lockup_Vest,(PartInt*(1+CAGR_M)^Vest_Total)*(1+CDI_M)^(A245-Vest_Total),PartInt*(1+CAGR_M)^A245)))</f>
        <v/>
      </c>
      <c r="D245" s="59">
        <f>IF(Modalidade="Aquisicao direta",PartExt*(1+CAGR_M)^A245,B245*PartExt*(1+CAGR_M)^A245)</f>
        <v/>
      </c>
      <c r="E245" s="59">
        <f>baseCDI*(1+CDI_M)^A245</f>
        <v/>
      </c>
    </row>
    <row r="246">
      <c r="A246" t="n">
        <v>231</v>
      </c>
      <c r="B246" s="60">
        <f>IF(Vest_Tipo="Unico ao final",IF(A246&gt;=Vest_Total,1,0),IF(A246&lt;Cliff,0,IF(A246&gt;=Vest_Total,1,IF(AND(Cliff&gt;0,Vest_Total&gt;Cliff),(Cliff_Pct/100)+(1-(Cliff_Pct/100))*((A246-Cliff)/(Vest_Total-Cliff)),(Cliff_Pct/100)))))</f>
        <v/>
      </c>
      <c r="C246" s="59">
        <f>IF(Modalidade="Aquisicao direta",IF(A246&lt;Lockup_Aq,custoAq*(1+CDI_M)^A246,PartInt*(1+CAGR_M)^A246),IF(A246&lt;Vest_Total,B246*PartInt*(1+CAGR_M)^A246,IF(A246&lt;Vest_Total+Lockup_Vest,(PartInt*(1+CAGR_M)^Vest_Total)*(1+CDI_M)^(A246-Vest_Total),PartInt*(1+CAGR_M)^A246)))</f>
        <v/>
      </c>
      <c r="D246" s="59">
        <f>IF(Modalidade="Aquisicao direta",PartExt*(1+CAGR_M)^A246,B246*PartExt*(1+CAGR_M)^A246)</f>
        <v/>
      </c>
      <c r="E246" s="59">
        <f>baseCDI*(1+CDI_M)^A246</f>
        <v/>
      </c>
    </row>
    <row r="247">
      <c r="A247" t="n">
        <v>232</v>
      </c>
      <c r="B247" s="60">
        <f>IF(Vest_Tipo="Unico ao final",IF(A247&gt;=Vest_Total,1,0),IF(A247&lt;Cliff,0,IF(A247&gt;=Vest_Total,1,IF(AND(Cliff&gt;0,Vest_Total&gt;Cliff),(Cliff_Pct/100)+(1-(Cliff_Pct/100))*((A247-Cliff)/(Vest_Total-Cliff)),(Cliff_Pct/100)))))</f>
        <v/>
      </c>
      <c r="C247" s="59">
        <f>IF(Modalidade="Aquisicao direta",IF(A247&lt;Lockup_Aq,custoAq*(1+CDI_M)^A247,PartInt*(1+CAGR_M)^A247),IF(A247&lt;Vest_Total,B247*PartInt*(1+CAGR_M)^A247,IF(A247&lt;Vest_Total+Lockup_Vest,(PartInt*(1+CAGR_M)^Vest_Total)*(1+CDI_M)^(A247-Vest_Total),PartInt*(1+CAGR_M)^A247)))</f>
        <v/>
      </c>
      <c r="D247" s="59">
        <f>IF(Modalidade="Aquisicao direta",PartExt*(1+CAGR_M)^A247,B247*PartExt*(1+CAGR_M)^A247)</f>
        <v/>
      </c>
      <c r="E247" s="59">
        <f>baseCDI*(1+CDI_M)^A247</f>
        <v/>
      </c>
    </row>
    <row r="248">
      <c r="A248" t="n">
        <v>233</v>
      </c>
      <c r="B248" s="60">
        <f>IF(Vest_Tipo="Unico ao final",IF(A248&gt;=Vest_Total,1,0),IF(A248&lt;Cliff,0,IF(A248&gt;=Vest_Total,1,IF(AND(Cliff&gt;0,Vest_Total&gt;Cliff),(Cliff_Pct/100)+(1-(Cliff_Pct/100))*((A248-Cliff)/(Vest_Total-Cliff)),(Cliff_Pct/100)))))</f>
        <v/>
      </c>
      <c r="C248" s="59">
        <f>IF(Modalidade="Aquisicao direta",IF(A248&lt;Lockup_Aq,custoAq*(1+CDI_M)^A248,PartInt*(1+CAGR_M)^A248),IF(A248&lt;Vest_Total,B248*PartInt*(1+CAGR_M)^A248,IF(A248&lt;Vest_Total+Lockup_Vest,(PartInt*(1+CAGR_M)^Vest_Total)*(1+CDI_M)^(A248-Vest_Total),PartInt*(1+CAGR_M)^A248)))</f>
        <v/>
      </c>
      <c r="D248" s="59">
        <f>IF(Modalidade="Aquisicao direta",PartExt*(1+CAGR_M)^A248,B248*PartExt*(1+CAGR_M)^A248)</f>
        <v/>
      </c>
      <c r="E248" s="59">
        <f>baseCDI*(1+CDI_M)^A248</f>
        <v/>
      </c>
    </row>
    <row r="249">
      <c r="A249" t="n">
        <v>234</v>
      </c>
      <c r="B249" s="60">
        <f>IF(Vest_Tipo="Unico ao final",IF(A249&gt;=Vest_Total,1,0),IF(A249&lt;Cliff,0,IF(A249&gt;=Vest_Total,1,IF(AND(Cliff&gt;0,Vest_Total&gt;Cliff),(Cliff_Pct/100)+(1-(Cliff_Pct/100))*((A249-Cliff)/(Vest_Total-Cliff)),(Cliff_Pct/100)))))</f>
        <v/>
      </c>
      <c r="C249" s="59">
        <f>IF(Modalidade="Aquisicao direta",IF(A249&lt;Lockup_Aq,custoAq*(1+CDI_M)^A249,PartInt*(1+CAGR_M)^A249),IF(A249&lt;Vest_Total,B249*PartInt*(1+CAGR_M)^A249,IF(A249&lt;Vest_Total+Lockup_Vest,(PartInt*(1+CAGR_M)^Vest_Total)*(1+CDI_M)^(A249-Vest_Total),PartInt*(1+CAGR_M)^A249)))</f>
        <v/>
      </c>
      <c r="D249" s="59">
        <f>IF(Modalidade="Aquisicao direta",PartExt*(1+CAGR_M)^A249,B249*PartExt*(1+CAGR_M)^A249)</f>
        <v/>
      </c>
      <c r="E249" s="59">
        <f>baseCDI*(1+CDI_M)^A249</f>
        <v/>
      </c>
    </row>
    <row r="250">
      <c r="A250" t="n">
        <v>235</v>
      </c>
      <c r="B250" s="60">
        <f>IF(Vest_Tipo="Unico ao final",IF(A250&gt;=Vest_Total,1,0),IF(A250&lt;Cliff,0,IF(A250&gt;=Vest_Total,1,IF(AND(Cliff&gt;0,Vest_Total&gt;Cliff),(Cliff_Pct/100)+(1-(Cliff_Pct/100))*((A250-Cliff)/(Vest_Total-Cliff)),(Cliff_Pct/100)))))</f>
        <v/>
      </c>
      <c r="C250" s="59">
        <f>IF(Modalidade="Aquisicao direta",IF(A250&lt;Lockup_Aq,custoAq*(1+CDI_M)^A250,PartInt*(1+CAGR_M)^A250),IF(A250&lt;Vest_Total,B250*PartInt*(1+CAGR_M)^A250,IF(A250&lt;Vest_Total+Lockup_Vest,(PartInt*(1+CAGR_M)^Vest_Total)*(1+CDI_M)^(A250-Vest_Total),PartInt*(1+CAGR_M)^A250)))</f>
        <v/>
      </c>
      <c r="D250" s="59">
        <f>IF(Modalidade="Aquisicao direta",PartExt*(1+CAGR_M)^A250,B250*PartExt*(1+CAGR_M)^A250)</f>
        <v/>
      </c>
      <c r="E250" s="59">
        <f>baseCDI*(1+CDI_M)^A250</f>
        <v/>
      </c>
    </row>
    <row r="251">
      <c r="A251" t="n">
        <v>236</v>
      </c>
      <c r="B251" s="60">
        <f>IF(Vest_Tipo="Unico ao final",IF(A251&gt;=Vest_Total,1,0),IF(A251&lt;Cliff,0,IF(A251&gt;=Vest_Total,1,IF(AND(Cliff&gt;0,Vest_Total&gt;Cliff),(Cliff_Pct/100)+(1-(Cliff_Pct/100))*((A251-Cliff)/(Vest_Total-Cliff)),(Cliff_Pct/100)))))</f>
        <v/>
      </c>
      <c r="C251" s="59">
        <f>IF(Modalidade="Aquisicao direta",IF(A251&lt;Lockup_Aq,custoAq*(1+CDI_M)^A251,PartInt*(1+CAGR_M)^A251),IF(A251&lt;Vest_Total,B251*PartInt*(1+CAGR_M)^A251,IF(A251&lt;Vest_Total+Lockup_Vest,(PartInt*(1+CAGR_M)^Vest_Total)*(1+CDI_M)^(A251-Vest_Total),PartInt*(1+CAGR_M)^A251)))</f>
        <v/>
      </c>
      <c r="D251" s="59">
        <f>IF(Modalidade="Aquisicao direta",PartExt*(1+CAGR_M)^A251,B251*PartExt*(1+CAGR_M)^A251)</f>
        <v/>
      </c>
      <c r="E251" s="59">
        <f>baseCDI*(1+CDI_M)^A251</f>
        <v/>
      </c>
    </row>
    <row r="252">
      <c r="A252" t="n">
        <v>237</v>
      </c>
      <c r="B252" s="60">
        <f>IF(Vest_Tipo="Unico ao final",IF(A252&gt;=Vest_Total,1,0),IF(A252&lt;Cliff,0,IF(A252&gt;=Vest_Total,1,IF(AND(Cliff&gt;0,Vest_Total&gt;Cliff),(Cliff_Pct/100)+(1-(Cliff_Pct/100))*((A252-Cliff)/(Vest_Total-Cliff)),(Cliff_Pct/100)))))</f>
        <v/>
      </c>
      <c r="C252" s="59">
        <f>IF(Modalidade="Aquisicao direta",IF(A252&lt;Lockup_Aq,custoAq*(1+CDI_M)^A252,PartInt*(1+CAGR_M)^A252),IF(A252&lt;Vest_Total,B252*PartInt*(1+CAGR_M)^A252,IF(A252&lt;Vest_Total+Lockup_Vest,(PartInt*(1+CAGR_M)^Vest_Total)*(1+CDI_M)^(A252-Vest_Total),PartInt*(1+CAGR_M)^A252)))</f>
        <v/>
      </c>
      <c r="D252" s="59">
        <f>IF(Modalidade="Aquisicao direta",PartExt*(1+CAGR_M)^A252,B252*PartExt*(1+CAGR_M)^A252)</f>
        <v/>
      </c>
      <c r="E252" s="59">
        <f>baseCDI*(1+CDI_M)^A252</f>
        <v/>
      </c>
    </row>
    <row r="253">
      <c r="A253" t="n">
        <v>238</v>
      </c>
      <c r="B253" s="60">
        <f>IF(Vest_Tipo="Unico ao final",IF(A253&gt;=Vest_Total,1,0),IF(A253&lt;Cliff,0,IF(A253&gt;=Vest_Total,1,IF(AND(Cliff&gt;0,Vest_Total&gt;Cliff),(Cliff_Pct/100)+(1-(Cliff_Pct/100))*((A253-Cliff)/(Vest_Total-Cliff)),(Cliff_Pct/100)))))</f>
        <v/>
      </c>
      <c r="C253" s="59">
        <f>IF(Modalidade="Aquisicao direta",IF(A253&lt;Lockup_Aq,custoAq*(1+CDI_M)^A253,PartInt*(1+CAGR_M)^A253),IF(A253&lt;Vest_Total,B253*PartInt*(1+CAGR_M)^A253,IF(A253&lt;Vest_Total+Lockup_Vest,(PartInt*(1+CAGR_M)^Vest_Total)*(1+CDI_M)^(A253-Vest_Total),PartInt*(1+CAGR_M)^A253)))</f>
        <v/>
      </c>
      <c r="D253" s="59">
        <f>IF(Modalidade="Aquisicao direta",PartExt*(1+CAGR_M)^A253,B253*PartExt*(1+CAGR_M)^A253)</f>
        <v/>
      </c>
      <c r="E253" s="59">
        <f>baseCDI*(1+CDI_M)^A253</f>
        <v/>
      </c>
    </row>
    <row r="254">
      <c r="A254" t="n">
        <v>239</v>
      </c>
      <c r="B254" s="60">
        <f>IF(Vest_Tipo="Unico ao final",IF(A254&gt;=Vest_Total,1,0),IF(A254&lt;Cliff,0,IF(A254&gt;=Vest_Total,1,IF(AND(Cliff&gt;0,Vest_Total&gt;Cliff),(Cliff_Pct/100)+(1-(Cliff_Pct/100))*((A254-Cliff)/(Vest_Total-Cliff)),(Cliff_Pct/100)))))</f>
        <v/>
      </c>
      <c r="C254" s="59">
        <f>IF(Modalidade="Aquisicao direta",IF(A254&lt;Lockup_Aq,custoAq*(1+CDI_M)^A254,PartInt*(1+CAGR_M)^A254),IF(A254&lt;Vest_Total,B254*PartInt*(1+CAGR_M)^A254,IF(A254&lt;Vest_Total+Lockup_Vest,(PartInt*(1+CAGR_M)^Vest_Total)*(1+CDI_M)^(A254-Vest_Total),PartInt*(1+CAGR_M)^A254)))</f>
        <v/>
      </c>
      <c r="D254" s="59">
        <f>IF(Modalidade="Aquisicao direta",PartExt*(1+CAGR_M)^A254,B254*PartExt*(1+CAGR_M)^A254)</f>
        <v/>
      </c>
      <c r="E254" s="59">
        <f>baseCDI*(1+CDI_M)^A254</f>
        <v/>
      </c>
    </row>
    <row r="255">
      <c r="A255" t="n">
        <v>240</v>
      </c>
      <c r="B255" s="60">
        <f>IF(Vest_Tipo="Unico ao final",IF(A255&gt;=Vest_Total,1,0),IF(A255&lt;Cliff,0,IF(A255&gt;=Vest_Total,1,IF(AND(Cliff&gt;0,Vest_Total&gt;Cliff),(Cliff_Pct/100)+(1-(Cliff_Pct/100))*((A255-Cliff)/(Vest_Total-Cliff)),(Cliff_Pct/100)))))</f>
        <v/>
      </c>
      <c r="C255" s="59">
        <f>IF(Modalidade="Aquisicao direta",IF(A255&lt;Lockup_Aq,custoAq*(1+CDI_M)^A255,PartInt*(1+CAGR_M)^A255),IF(A255&lt;Vest_Total,B255*PartInt*(1+CAGR_M)^A255,IF(A255&lt;Vest_Total+Lockup_Vest,(PartInt*(1+CAGR_M)^Vest_Total)*(1+CDI_M)^(A255-Vest_Total),PartInt*(1+CAGR_M)^A255)))</f>
        <v/>
      </c>
      <c r="D255" s="59">
        <f>IF(Modalidade="Aquisicao direta",PartExt*(1+CAGR_M)^A255,B255*PartExt*(1+CAGR_M)^A255)</f>
        <v/>
      </c>
      <c r="E255" s="59">
        <f>baseCDI*(1+CDI_M)^A255</f>
        <v/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D7AB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2026-06-03T15:06:40Z</dcterms:created>
  <dcterms:modified xmlns:dcterms="http://purl.org/dc/terms/" xmlns:xsi="http://www.w3.org/2001/XMLSchema-instance" xsi:type="dcterms:W3CDTF">2026-06-03T15:06:40Z</dcterms:modified>
</cp:coreProperties>
</file>