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vitor\Documents\Claude\03-marketing\lead-magnets\_entregáveis\LM9-tributario-multi-pj\"/>
    </mc:Choice>
  </mc:AlternateContent>
  <xr:revisionPtr revIDLastSave="0" documentId="13_ncr:1_{D2F0FA56-DF08-45A1-897C-705803B3B8A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emissas" sheetId="1" r:id="rId1"/>
    <sheet name="Situação Atual" sheetId="2" r:id="rId2"/>
    <sheet name="Cenários de Expansão" sheetId="3" r:id="rId3"/>
    <sheet name="Sensibilidade" sheetId="4" r:id="rId4"/>
    <sheet name="Resumo Executiv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5" l="1"/>
  <c r="B8" i="5"/>
  <c r="B7" i="5"/>
  <c r="C32" i="4"/>
  <c r="B32" i="4"/>
  <c r="F29" i="4"/>
  <c r="E29" i="4"/>
  <c r="D27" i="4"/>
  <c r="C27" i="4"/>
  <c r="B25" i="4"/>
  <c r="F24" i="4"/>
  <c r="E22" i="4"/>
  <c r="D22" i="4"/>
  <c r="B16" i="4"/>
  <c r="B9" i="4"/>
  <c r="D38" i="3"/>
  <c r="C38" i="3"/>
  <c r="B38" i="3"/>
  <c r="D11" i="3"/>
  <c r="C11" i="3"/>
  <c r="B11" i="3"/>
  <c r="D10" i="3"/>
  <c r="D8" i="3"/>
  <c r="C8" i="3"/>
  <c r="C10" i="3" s="1"/>
  <c r="B8" i="3"/>
  <c r="B10" i="3" s="1"/>
  <c r="G29" i="2"/>
  <c r="B14" i="5" s="1"/>
  <c r="F6" i="2"/>
  <c r="F7" i="2" s="1"/>
  <c r="E6" i="2"/>
  <c r="E28" i="2" s="1"/>
  <c r="D6" i="2"/>
  <c r="D28" i="2" s="1"/>
  <c r="C6" i="2"/>
  <c r="B6" i="2"/>
  <c r="B39" i="1"/>
  <c r="D39" i="3" s="1"/>
  <c r="B23" i="1"/>
  <c r="F31" i="4" s="1"/>
  <c r="B21" i="1"/>
  <c r="B15" i="1"/>
  <c r="B16" i="1" s="1"/>
  <c r="B40" i="1" l="1"/>
  <c r="D37" i="3" s="1"/>
  <c r="D41" i="3" s="1"/>
  <c r="B39" i="3"/>
  <c r="C39" i="3"/>
  <c r="F16" i="4"/>
  <c r="B12" i="3"/>
  <c r="C12" i="3"/>
  <c r="C16" i="3" s="1"/>
  <c r="D40" i="3"/>
  <c r="B16" i="3"/>
  <c r="B13" i="3"/>
  <c r="F23" i="2"/>
  <c r="F21" i="2"/>
  <c r="F9" i="2"/>
  <c r="F13" i="2" s="1"/>
  <c r="F22" i="2"/>
  <c r="F8" i="2"/>
  <c r="F12" i="2" s="1"/>
  <c r="F14" i="2" s="1"/>
  <c r="C16" i="4"/>
  <c r="C9" i="4"/>
  <c r="B14" i="4"/>
  <c r="D16" i="4"/>
  <c r="F22" i="4"/>
  <c r="C25" i="4"/>
  <c r="E27" i="4"/>
  <c r="B30" i="4"/>
  <c r="D32" i="4"/>
  <c r="B7" i="4"/>
  <c r="D9" i="4"/>
  <c r="E16" i="4"/>
  <c r="B23" i="4"/>
  <c r="D25" i="4"/>
  <c r="F27" i="4"/>
  <c r="C30" i="4"/>
  <c r="E32" i="4"/>
  <c r="B7" i="2"/>
  <c r="E9" i="4"/>
  <c r="B12" i="4"/>
  <c r="C23" i="4"/>
  <c r="E25" i="4"/>
  <c r="B28" i="4"/>
  <c r="D30" i="4"/>
  <c r="F32" i="4"/>
  <c r="C7" i="2"/>
  <c r="D12" i="3"/>
  <c r="B17" i="4"/>
  <c r="D23" i="4"/>
  <c r="F25" i="4"/>
  <c r="C28" i="4"/>
  <c r="E30" i="4"/>
  <c r="B37" i="3"/>
  <c r="B10" i="4"/>
  <c r="E23" i="4"/>
  <c r="B26" i="4"/>
  <c r="D28" i="4"/>
  <c r="F30" i="4"/>
  <c r="F28" i="2"/>
  <c r="G6" i="2"/>
  <c r="D7" i="2"/>
  <c r="E7" i="2"/>
  <c r="C37" i="3"/>
  <c r="B15" i="4"/>
  <c r="F23" i="4"/>
  <c r="C26" i="4"/>
  <c r="E28" i="4"/>
  <c r="B31" i="4"/>
  <c r="B8" i="4"/>
  <c r="B24" i="4"/>
  <c r="D26" i="4"/>
  <c r="F28" i="4"/>
  <c r="C31" i="4"/>
  <c r="B13" i="4"/>
  <c r="C24" i="4"/>
  <c r="E26" i="4"/>
  <c r="B29" i="4"/>
  <c r="D31" i="4"/>
  <c r="B22" i="4"/>
  <c r="D24" i="4"/>
  <c r="F26" i="4"/>
  <c r="C29" i="4"/>
  <c r="E31" i="4"/>
  <c r="B11" i="4"/>
  <c r="C22" i="4"/>
  <c r="E24" i="4"/>
  <c r="B27" i="4"/>
  <c r="D29" i="4"/>
  <c r="C13" i="3" l="1"/>
  <c r="F9" i="4"/>
  <c r="F12" i="4"/>
  <c r="E12" i="4"/>
  <c r="D12" i="4"/>
  <c r="C12" i="4"/>
  <c r="D13" i="4"/>
  <c r="C13" i="4"/>
  <c r="E13" i="4"/>
  <c r="F13" i="4"/>
  <c r="E22" i="2"/>
  <c r="E8" i="2"/>
  <c r="E12" i="2" s="1"/>
  <c r="E14" i="2" s="1"/>
  <c r="E23" i="2"/>
  <c r="E21" i="2"/>
  <c r="E9" i="2"/>
  <c r="E13" i="2" s="1"/>
  <c r="B22" i="2"/>
  <c r="B8" i="2"/>
  <c r="G7" i="2"/>
  <c r="B23" i="2"/>
  <c r="B21" i="2"/>
  <c r="B9" i="2"/>
  <c r="F15" i="4"/>
  <c r="E15" i="4"/>
  <c r="D15" i="4"/>
  <c r="C15" i="4"/>
  <c r="F17" i="4"/>
  <c r="E17" i="4"/>
  <c r="D17" i="4"/>
  <c r="C17" i="4"/>
  <c r="B27" i="3"/>
  <c r="B17" i="3"/>
  <c r="B19" i="3" s="1"/>
  <c r="B29" i="3"/>
  <c r="B28" i="3"/>
  <c r="B18" i="3"/>
  <c r="B20" i="3" s="1"/>
  <c r="D16" i="3"/>
  <c r="D13" i="3"/>
  <c r="F14" i="4"/>
  <c r="E14" i="4"/>
  <c r="D14" i="4"/>
  <c r="C14" i="4"/>
  <c r="E8" i="4"/>
  <c r="D8" i="4"/>
  <c r="C8" i="4"/>
  <c r="F8" i="4"/>
  <c r="C11" i="4"/>
  <c r="F11" i="4"/>
  <c r="E11" i="4"/>
  <c r="D11" i="4"/>
  <c r="F17" i="2"/>
  <c r="F19" i="2" s="1"/>
  <c r="F24" i="2" s="1"/>
  <c r="F27" i="2" s="1"/>
  <c r="F20" i="2"/>
  <c r="F18" i="2"/>
  <c r="C27" i="3"/>
  <c r="C29" i="3"/>
  <c r="C28" i="3"/>
  <c r="C18" i="3"/>
  <c r="C20" i="3" s="1"/>
  <c r="C17" i="3"/>
  <c r="C19" i="3" s="1"/>
  <c r="C21" i="3" s="1"/>
  <c r="D22" i="2"/>
  <c r="D8" i="2"/>
  <c r="D12" i="2" s="1"/>
  <c r="D23" i="2"/>
  <c r="D21" i="2"/>
  <c r="D9" i="2"/>
  <c r="D13" i="2" s="1"/>
  <c r="C41" i="3"/>
  <c r="B19" i="5" s="1"/>
  <c r="C40" i="3"/>
  <c r="B18" i="5" s="1"/>
  <c r="C22" i="2"/>
  <c r="C8" i="2"/>
  <c r="C12" i="2" s="1"/>
  <c r="C23" i="2"/>
  <c r="C21" i="2"/>
  <c r="C9" i="2"/>
  <c r="C13" i="2" s="1"/>
  <c r="F7" i="4"/>
  <c r="E7" i="4"/>
  <c r="D7" i="4"/>
  <c r="C7" i="4"/>
  <c r="F10" i="4"/>
  <c r="E10" i="4"/>
  <c r="D10" i="4"/>
  <c r="C10" i="4"/>
  <c r="B41" i="3"/>
  <c r="B40" i="3"/>
  <c r="C26" i="3" l="1"/>
  <c r="C25" i="3"/>
  <c r="C24" i="3"/>
  <c r="G9" i="2"/>
  <c r="B13" i="2"/>
  <c r="G13" i="2" s="1"/>
  <c r="D29" i="3"/>
  <c r="D28" i="3"/>
  <c r="D18" i="3"/>
  <c r="D20" i="3" s="1"/>
  <c r="D27" i="3"/>
  <c r="D17" i="3"/>
  <c r="D19" i="3" s="1"/>
  <c r="B21" i="3"/>
  <c r="G23" i="2"/>
  <c r="E20" i="2"/>
  <c r="E18" i="2"/>
  <c r="E17" i="2"/>
  <c r="E19" i="2" s="1"/>
  <c r="E24" i="2" s="1"/>
  <c r="E27" i="2" s="1"/>
  <c r="D14" i="2"/>
  <c r="G21" i="2"/>
  <c r="C14" i="2"/>
  <c r="B12" i="2"/>
  <c r="G8" i="2"/>
  <c r="G22" i="2"/>
  <c r="D21" i="3" l="1"/>
  <c r="C30" i="3"/>
  <c r="C33" i="3" s="1"/>
  <c r="C20" i="2"/>
  <c r="C18" i="2"/>
  <c r="C17" i="2"/>
  <c r="C19" i="2" s="1"/>
  <c r="C24" i="2" s="1"/>
  <c r="C27" i="2" s="1"/>
  <c r="C28" i="2" s="1"/>
  <c r="B26" i="3"/>
  <c r="B25" i="3"/>
  <c r="B24" i="3"/>
  <c r="D26" i="3"/>
  <c r="D25" i="3"/>
  <c r="D24" i="3"/>
  <c r="B14" i="2"/>
  <c r="G12" i="2"/>
  <c r="D20" i="2"/>
  <c r="D17" i="2"/>
  <c r="D18" i="2"/>
  <c r="C45" i="3"/>
  <c r="C34" i="3"/>
  <c r="B31" i="5" s="1"/>
  <c r="B30" i="3" l="1"/>
  <c r="B33" i="3" s="1"/>
  <c r="D30" i="3"/>
  <c r="D33" i="3" s="1"/>
  <c r="D45" i="3"/>
  <c r="D34" i="3"/>
  <c r="B32" i="5" s="1"/>
  <c r="B45" i="3"/>
  <c r="B34" i="3"/>
  <c r="B20" i="2"/>
  <c r="G20" i="2" s="1"/>
  <c r="B18" i="2"/>
  <c r="G18" i="2" s="1"/>
  <c r="G14" i="2"/>
  <c r="B17" i="2"/>
  <c r="D19" i="2"/>
  <c r="D24" i="2" s="1"/>
  <c r="D27" i="2" s="1"/>
  <c r="G17" i="2" l="1"/>
  <c r="B19" i="2"/>
  <c r="B24" i="2" l="1"/>
  <c r="G19" i="2"/>
  <c r="B27" i="2" l="1"/>
  <c r="G24" i="2"/>
  <c r="G27" i="2" l="1"/>
  <c r="B28" i="2"/>
  <c r="B12" i="5" l="1"/>
  <c r="D46" i="3"/>
  <c r="G30" i="2"/>
  <c r="C46" i="3"/>
  <c r="B46" i="3"/>
  <c r="G28" i="2"/>
  <c r="B48" i="3" l="1"/>
  <c r="B49" i="3" s="1"/>
  <c r="B47" i="3"/>
  <c r="D44" i="3"/>
  <c r="C44" i="3"/>
  <c r="B44" i="3"/>
  <c r="D48" i="3"/>
  <c r="D47" i="3"/>
  <c r="B25" i="5" s="1"/>
  <c r="B13" i="5"/>
  <c r="B30" i="5"/>
  <c r="B33" i="5" s="1"/>
  <c r="B17" i="5"/>
  <c r="C48" i="3"/>
  <c r="C47" i="3"/>
  <c r="B20" i="5" s="1"/>
  <c r="C49" i="3" l="1"/>
  <c r="B22" i="5" s="1"/>
  <c r="B21" i="5"/>
  <c r="B26" i="5"/>
  <c r="D49" i="3"/>
  <c r="B27" i="5" s="1"/>
</calcChain>
</file>

<file path=xl/sharedStrings.xml><?xml version="1.0" encoding="utf-8"?>
<sst xmlns="http://schemas.openxmlformats.org/spreadsheetml/2006/main" count="167" uniqueCount="146">
  <si>
    <t>SIMULADOR TRIBUTÁRIO MULTI-PJ — LC 224/2025</t>
  </si>
  <si>
    <t>Lucro Presumido: acréscimo de presunção sobre receita acima de R$ 5M/ano por PJ</t>
  </si>
  <si>
    <t>SITUAÇÃO ATUAL DO GRUPO</t>
  </si>
  <si>
    <t>Receita bruta anual TOTAL do grupo (R$)</t>
  </si>
  <si>
    <t>Quantidade de PJs que já possui</t>
  </si>
  <si>
    <t>Preencha a receita de cada PJ existente abaixo:</t>
  </si>
  <si>
    <t>Receita anual PJ 1 (R$)</t>
  </si>
  <si>
    <t>Receita anual PJ 2 (R$)</t>
  </si>
  <si>
    <t>Receita anual PJ 3 (R$)</t>
  </si>
  <si>
    <t>Receita anual PJ 4 (R$)</t>
  </si>
  <si>
    <t>Receita anual PJ 5 (R$)</t>
  </si>
  <si>
    <t>Soma das receitas informadas (R$)</t>
  </si>
  <si>
    <t>Diferença vs. total informado (R$)</t>
  </si>
  <si>
    <t>PARÂMETROS TRIBUTÁRIOS (LC 224/2025)</t>
  </si>
  <si>
    <t>Presunção IRPJ/CSLL — serviços (até limite)</t>
  </si>
  <si>
    <t>Acréscimo LC 224/2025 sobre excedente</t>
  </si>
  <si>
    <t>Presunção ajustada (excedente)</t>
  </si>
  <si>
    <t>Limite anual por PJ (R$)</t>
  </si>
  <si>
    <t>Limite trimestral por PJ (R$)</t>
  </si>
  <si>
    <t>Alíquota IRPJ</t>
  </si>
  <si>
    <t>Adicional IRPJ (base &gt; R$ 60k/tri)</t>
  </si>
  <si>
    <t>Limite trimestral adicional IRPJ (R$)</t>
  </si>
  <si>
    <t>Alíquota CSLL</t>
  </si>
  <si>
    <t>PIS cumulativo</t>
  </si>
  <si>
    <t>COFINS cumulativo</t>
  </si>
  <si>
    <t>Alíquota ISS do município</t>
  </si>
  <si>
    <t>Ajuste conforme seu município (2% a 5%)</t>
  </si>
  <si>
    <t>CUSTOS DE MANUTENÇÃO (POR PJ ADICIONAL)</t>
  </si>
  <si>
    <t>Jurídico mensal (R$)</t>
  </si>
  <si>
    <t>Custo de abertura de PJ (R$)</t>
  </si>
  <si>
    <t>Tipo da PJ adicional</t>
  </si>
  <si>
    <t>Consultoria CVM</t>
  </si>
  <si>
    <t>Custo regulatório anual aplicável (R$)</t>
  </si>
  <si>
    <t>Custo operacional anual por PJ adicional (R$)</t>
  </si>
  <si>
    <t>Simulação para fins de planejamento tributário. Consulte seu contador antes de tomar decisões.</t>
  </si>
  <si>
    <t>Base legal: Lei Complementar nº 224/2025 e Instrução Normativa RFB nº 2.305/2025.</t>
  </si>
  <si>
    <t>ISS: estimado em 5% (alíquota máxima). Ajuste na célula B30 conforme a alíquota do seu município (varia de 2% a 5%).</t>
  </si>
  <si>
    <t>PIS e COFINS: regime cumulativo (0,65% e 3%). Não considera créditos (aplicável apenas ao Lucro Real).</t>
  </si>
  <si>
    <t>Valores de custos operacionais e regulatórios são estimativas. Ajuste conforme cotações reais.</t>
  </si>
  <si>
    <t>SITUAÇÃO ATUAL — CARGA TRIBUTÁRIA COM LC 224/2025</t>
  </si>
  <si>
    <t>PJ 1</t>
  </si>
  <si>
    <t>PJ 2</t>
  </si>
  <si>
    <t>PJ 3</t>
  </si>
  <si>
    <t>PJ 4</t>
  </si>
  <si>
    <t>PJ 5</t>
  </si>
  <si>
    <t>TOTAL GRUPO</t>
  </si>
  <si>
    <t>Receita anual (R$)</t>
  </si>
  <si>
    <t>Receita trimestral (R$)</t>
  </si>
  <si>
    <t>Parcela até R$ 1,25M/tri (R$)</t>
  </si>
  <si>
    <t>Parcela excedente/tri (R$)</t>
  </si>
  <si>
    <t>BASE PRESUMIDA (TRIMESTRAL)</t>
  </si>
  <si>
    <t>Base normal (32%)</t>
  </si>
  <si>
    <t>Base excedente (35,2%)</t>
  </si>
  <si>
    <t>Base presumida total/tri (R$)</t>
  </si>
  <si>
    <t>TRIBUTOS (TRIMESTRAL POR PJ)</t>
  </si>
  <si>
    <t>IRPJ básico (15%)</t>
  </si>
  <si>
    <t>IRPJ adicional (10% s/ base &gt; R$ 60k)</t>
  </si>
  <si>
    <t>IRPJ total/tri</t>
  </si>
  <si>
    <t>CSLL (9%)</t>
  </si>
  <si>
    <t>PIS (0,65%)</t>
  </si>
  <si>
    <t>COFINS (3%)</t>
  </si>
  <si>
    <t>ISS</t>
  </si>
  <si>
    <t>TOTAL TRIBUTOS/TRI</t>
  </si>
  <si>
    <t>RESUMO ANUAL</t>
  </si>
  <si>
    <t>Total tributos anual (R$)</t>
  </si>
  <si>
    <t>Carga efetiva por PJ (%)</t>
  </si>
  <si>
    <t>Custos operacionais atuais/ano (R$)</t>
  </si>
  <si>
    <t>CUSTO TOTAL ATUAL (tributos + operacional)</t>
  </si>
  <si>
    <t>ISS estimado em 5%. Ajuste na aba Premissas (célula B30) conforme a alíquota do seu município.</t>
  </si>
  <si>
    <t>Cálculo baseado na LC 224/2025: acréscimo de 10% no percentual de presunção sobre receita excedente a R$ 5M/ano por PJ.</t>
  </si>
  <si>
    <t>CENÁRIOS DE EXPANSÃO — NOVAS PJs</t>
  </si>
  <si>
    <t>Cenário A
(Atual)</t>
  </si>
  <si>
    <t>Cenário B
(+1 PJ)</t>
  </si>
  <si>
    <t>Cenário C
(+2 PJs)</t>
  </si>
  <si>
    <t>ESTRUTURA</t>
  </si>
  <si>
    <t>Nº de PJs existentes</t>
  </si>
  <si>
    <t>Nº de PJs novas</t>
  </si>
  <si>
    <t>Total de PJs</t>
  </si>
  <si>
    <t>Receita total do grupo (R$)</t>
  </si>
  <si>
    <t>Receita por PJ (distribuída) (R$)</t>
  </si>
  <si>
    <t>Receita por PJ acima do limite?</t>
  </si>
  <si>
    <t>CÁLCULO TRIBUTÁRIO (POR PJ, TRIMESTRAL)</t>
  </si>
  <si>
    <t>Receita trimestral/PJ (R$)</t>
  </si>
  <si>
    <t>Parcela até limite (R$)</t>
  </si>
  <si>
    <t>Parcela excedente (R$)</t>
  </si>
  <si>
    <t>Base presumida normal (32%)</t>
  </si>
  <si>
    <t>Base presumida excedente (35,2%)</t>
  </si>
  <si>
    <t>TRIBUTOS POR PJ (TRIMESTRAL)</t>
  </si>
  <si>
    <t>IRPJ adicional (10%)</t>
  </si>
  <si>
    <t>Total tributos/tri por PJ (R$)</t>
  </si>
  <si>
    <t>TOTAIS ANUAIS DO GRUPO</t>
  </si>
  <si>
    <t>Total tributos/ano (todas as PJs) (R$)</t>
  </si>
  <si>
    <t>Carga efetiva (%)</t>
  </si>
  <si>
    <t>CUSTOS INCREMENTAIS (PJs NOVAS)</t>
  </si>
  <si>
    <t>Custo operacional anual (contab+fin+jur) (R$)</t>
  </si>
  <si>
    <t>Custo de abertura (one-shot) (R$)</t>
  </si>
  <si>
    <t>Custo regulatório anual (CVM/ANBIMA) (R$)</t>
  </si>
  <si>
    <t>Total custos incrementais no 1º ano (R$)</t>
  </si>
  <si>
    <t>Total custos incrementais recorrentes/ano (R$)</t>
  </si>
  <si>
    <t>RESULTADO DA SIMULAÇÃO</t>
  </si>
  <si>
    <t>Custo total atual (tributos + operacional) (R$)</t>
  </si>
  <si>
    <t>Custo total novo cenário (tributos + incremental) (R$)</t>
  </si>
  <si>
    <t>Economia bruta (só tributos) (R$)</t>
  </si>
  <si>
    <t>Economia líquida no 1º ano (R$)</t>
  </si>
  <si>
    <t>Economia líquida recorrente/ano (R$)</t>
  </si>
  <si>
    <t>Payback da abertura (meses)</t>
  </si>
  <si>
    <t>Receita redistribuída igualmente entre todas as PJs. Na prática, a distribuição pode variar conforme a atividade de cada estrutura.</t>
  </si>
  <si>
    <t>Simulação não constitui parecer jurídico ou contábil. Consulte profissionais especializados.</t>
  </si>
  <si>
    <t>ANÁLISE DE SENSIBILIDADE — ECONOMIA LÍQUIDA ANUAL RECORRENTE</t>
  </si>
  <si>
    <t>Valores em R$. Coluna '1 PJ' mostra tributos totais (referência). Demais colunas: economia líquida recorrente vs. 1 PJ.</t>
  </si>
  <si>
    <t>Receita Total (R$)</t>
  </si>
  <si>
    <t>1 PJ
(referência)</t>
  </si>
  <si>
    <t>2 PJs</t>
  </si>
  <si>
    <t>3 PJs</t>
  </si>
  <si>
    <t>4 PJs</t>
  </si>
  <si>
    <t>5 PJs</t>
  </si>
  <si>
    <t>CARGA TRIBUTÁRIA EFETIVA (%)</t>
  </si>
  <si>
    <t>1 PJ</t>
  </si>
  <si>
    <t>ISS estimado em 5%. Todos os parâmetros tributários seguem a aba Premissas.</t>
  </si>
  <si>
    <t>RESUMO EXECUTIVO</t>
  </si>
  <si>
    <t>Simulador Tributário Multi-PJ — LC 224/2025</t>
  </si>
  <si>
    <t>SITUAÇÃO DO GRUPO</t>
  </si>
  <si>
    <t>Receita bruta anual total (R$)</t>
  </si>
  <si>
    <t>Quantidade de PJs existentes</t>
  </si>
  <si>
    <t>CARGA TRIBUTÁRIA ATUAL</t>
  </si>
  <si>
    <t>Total de tributos/ano (R$)</t>
  </si>
  <si>
    <t>CENÁRIO RECOMENDADO: +1 PJ</t>
  </si>
  <si>
    <t>Economia bruta em tributos/ano (R$)</t>
  </si>
  <si>
    <t>Custos incrementais no 1º ano (R$)</t>
  </si>
  <si>
    <t>Custos incrementais recorrentes/ano (R$)</t>
  </si>
  <si>
    <t>CENÁRIO ALTERNATIVO: +2 PJs</t>
  </si>
  <si>
    <t>COMPARATIVO DE CARGA EFETIVA</t>
  </si>
  <si>
    <t>Carga efetiva atual (%)</t>
  </si>
  <si>
    <t>Carga efetiva com +1 PJ (%)</t>
  </si>
  <si>
    <t>Carga efetiva com +2 PJs (%)</t>
  </si>
  <si>
    <t>Redução de carga efetiva com +1 PJ (p.p.)</t>
  </si>
  <si>
    <t>PRÓXIMO PASSO</t>
  </si>
  <si>
    <t>Quer entender como estruturar uma nova PJ (consultoria CVM ou wealth)
e reduzir sua carga tributária? Fale com a AAWZ:</t>
  </si>
  <si>
    <t>Diagnóstico gratuito para sua operação</t>
  </si>
  <si>
    <t>Simulação para fins de planejamento tributário. Consulte seu contador.</t>
  </si>
  <si>
    <t>Base legal: LC nº 224/2025 e IN RFB nº 2.305/2025.</t>
  </si>
  <si>
    <t>ISS estimado em 5%. Ajuste na aba Premissas (B30) conforme seu município.</t>
  </si>
  <si>
    <t>Contabilidade mensal (R$)</t>
  </si>
  <si>
    <t>Custo anual compliance CVM (R$)</t>
  </si>
  <si>
    <t>Custo anual compliance ANBIMA (R$)</t>
  </si>
  <si>
    <t xml:space="preserve">            AAWZ Middle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</si>
</sst>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MoolBoran"/>
      <family val="2"/>
    </font>
    <font>
      <b/>
      <sz val="12"/>
      <color rgb="FF4A7C59"/>
      <name val="Calibri Light"/>
      <family val="2"/>
    </font>
    <font>
      <sz val="12"/>
      <color theme="1"/>
      <name val="Calibri Light"/>
      <family val="2"/>
    </font>
    <font>
      <b/>
      <sz val="12"/>
      <color rgb="FFFFFFFF"/>
      <name val="Calibri Light"/>
      <family val="2"/>
    </font>
    <font>
      <b/>
      <sz val="12"/>
      <color rgb="FF1A1A1A"/>
      <name val="Calibri Light"/>
      <family val="2"/>
    </font>
    <font>
      <sz val="12"/>
      <color rgb="FF1A1A1A"/>
      <name val="Calibri Light"/>
      <family val="2"/>
    </font>
    <font>
      <b/>
      <i/>
      <sz val="12"/>
      <color rgb="FFB71C1C"/>
      <name val="Calibri Light"/>
      <family val="2"/>
    </font>
    <font>
      <i/>
      <sz val="12"/>
      <color rgb="FF888888"/>
      <name val="Calibri Light"/>
      <family val="2"/>
    </font>
    <font>
      <sz val="11"/>
      <color theme="1"/>
      <name val="Calibri Light"/>
      <family val="2"/>
    </font>
    <font>
      <sz val="12"/>
      <color rgb="FF666666"/>
      <name val="Calibri Light"/>
      <family val="2"/>
    </font>
    <font>
      <sz val="12"/>
      <color rgb="FF0000FF"/>
      <name val="Calibri Light"/>
      <family val="2"/>
    </font>
    <font>
      <sz val="12"/>
      <color rgb="FF888888"/>
      <name val="Calibri Light"/>
      <family val="2"/>
    </font>
    <font>
      <b/>
      <i/>
      <sz val="11"/>
      <color rgb="FFB71C1C"/>
      <name val="Calibri Light"/>
      <family val="2"/>
    </font>
    <font>
      <u/>
      <sz val="12"/>
      <color rgb="FF25D366"/>
      <name val="Calibri Light"/>
      <family val="2"/>
    </font>
    <font>
      <i/>
      <sz val="12"/>
      <color rgb="FF666666"/>
      <name val="Calibri Light"/>
      <family val="2"/>
    </font>
    <font>
      <i/>
      <sz val="10"/>
      <color rgb="FF888888"/>
      <name val="Calibri Light"/>
      <family val="2"/>
    </font>
    <font>
      <b/>
      <sz val="14"/>
      <color theme="1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4A7C59"/>
      </patternFill>
    </fill>
    <fill>
      <patternFill patternType="solid">
        <fgColor rgb="FFF5F2EE"/>
      </patternFill>
    </fill>
    <fill>
      <patternFill patternType="solid">
        <fgColor rgb="FFFFF9C4"/>
      </patternFill>
    </fill>
    <fill>
      <patternFill patternType="solid">
        <fgColor rgb="FFE8F5E9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2" fillId="2" borderId="0" xfId="0" applyFont="1" applyFill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/>
    <xf numFmtId="10" fontId="7" fillId="0" borderId="1" xfId="0" applyNumberFormat="1" applyFont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4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4" fillId="2" borderId="0" xfId="0" applyFont="1" applyFill="1"/>
    <xf numFmtId="0" fontId="11" fillId="0" borderId="0" xfId="0" applyFont="1" applyAlignment="1">
      <alignment horizontal="center"/>
    </xf>
    <xf numFmtId="4" fontId="12" fillId="4" borderId="1" xfId="0" applyNumberFormat="1" applyFont="1" applyFill="1" applyBorder="1" applyAlignment="1">
      <alignment horizontal="right" vertical="center"/>
    </xf>
    <xf numFmtId="1" fontId="12" fillId="4" borderId="1" xfId="0" applyNumberFormat="1" applyFont="1" applyFill="1" applyBorder="1" applyAlignment="1">
      <alignment horizontal="right" vertical="center"/>
    </xf>
    <xf numFmtId="0" fontId="9" fillId="0" borderId="0" xfId="0" applyFont="1"/>
    <xf numFmtId="10" fontId="12" fillId="4" borderId="1" xfId="0" applyNumberFormat="1" applyFont="1" applyFill="1" applyBorder="1" applyAlignment="1">
      <alignment horizontal="right" vertical="center"/>
    </xf>
    <xf numFmtId="49" fontId="12" fillId="4" borderId="1" xfId="0" applyNumberFormat="1" applyFont="1" applyFill="1" applyBorder="1" applyAlignment="1">
      <alignment horizontal="right" vertical="center"/>
    </xf>
    <xf numFmtId="1" fontId="7" fillId="0" borderId="1" xfId="0" applyNumberFormat="1" applyFont="1" applyBorder="1" applyAlignment="1">
      <alignment horizontal="right" vertical="center"/>
    </xf>
    <xf numFmtId="1" fontId="7" fillId="0" borderId="1" xfId="0" applyNumberFormat="1" applyFont="1" applyBorder="1"/>
    <xf numFmtId="1" fontId="6" fillId="0" borderId="1" xfId="0" applyNumberFormat="1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3" fontId="6" fillId="0" borderId="1" xfId="0" applyNumberFormat="1" applyFont="1" applyBorder="1"/>
    <xf numFmtId="3" fontId="13" fillId="0" borderId="1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0" fontId="14" fillId="0" borderId="0" xfId="0" applyFont="1"/>
    <xf numFmtId="4" fontId="6" fillId="5" borderId="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0" fillId="0" borderId="0" xfId="0" applyFont="1" applyAlignment="1"/>
    <xf numFmtId="0" fontId="17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44" fontId="4" fillId="0" borderId="0" xfId="1" applyFont="1"/>
  </cellXfs>
  <cellStyles count="2">
    <cellStyle name="Moeda" xfId="1" builtinId="4"/>
    <cellStyle name="Normal" xfId="0" builtinId="0"/>
  </cellStyles>
  <dxfs count="4">
    <dxf>
      <font>
        <b/>
        <sz val="10"/>
        <color rgb="FFB71C1C"/>
        <name val="Arial"/>
      </font>
      <fill>
        <patternFill patternType="solid">
          <fgColor rgb="FFFFEBEE"/>
        </patternFill>
      </fill>
    </dxf>
    <dxf>
      <font>
        <b/>
        <sz val="10"/>
        <color rgb="FF1B5E20"/>
        <name val="Arial"/>
      </font>
      <fill>
        <patternFill patternType="solid">
          <fgColor rgb="FFE8F5E9"/>
        </patternFill>
      </fill>
    </dxf>
    <dxf>
      <font>
        <b/>
        <sz val="10"/>
        <color rgb="FFB71C1C"/>
        <name val="Arial"/>
      </font>
      <fill>
        <patternFill patternType="solid">
          <fgColor rgb="FFFFEBEE"/>
        </patternFill>
      </fill>
    </dxf>
    <dxf>
      <font>
        <b/>
        <sz val="10"/>
        <color rgb="FF1B5E20"/>
        <name val="Arial"/>
      </font>
      <fill>
        <patternFill patternType="solid">
          <fgColor rgb="FFE8F5E9"/>
        </patternFill>
      </fill>
    </dxf>
  </dxfs>
  <tableStyles count="0" defaultTableStyle="TableStyleMedium9" defaultPivotStyle="PivotStyleLight16"/>
  <colors>
    <mruColors>
      <color rgb="FF007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https://aawzpartners.com/divulgacao-do-relatorio-setorial-2026/?utm_source=Redes+sociais&amp;utm_medium=Link+da+Bio+Filipe&amp;utm_campaign=Middle+%7C+Material+Rico+%7C+divulgacao-do-relatorio-setorial-2026.1" TargetMode="External"/><Relationship Id="rId2" Type="http://schemas.openxmlformats.org/officeDocument/2006/relationships/hyperlink" Target="https://wa.me/5548991414406" TargetMode="External"/><Relationship Id="rId1" Type="http://schemas.openxmlformats.org/officeDocument/2006/relationships/image" Target="../media/image5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1579245</xdr:colOff>
      <xdr:row>0</xdr:row>
      <xdr:rowOff>272415</xdr:rowOff>
    </xdr:from>
    <xdr:to>
      <xdr:col>2</xdr:col>
      <xdr:colOff>2377846</xdr:colOff>
      <xdr:row>0</xdr:row>
      <xdr:rowOff>497205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E7FD8EA-99FE-E2E5-D71A-5CC914C3E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6495" y="272415"/>
          <a:ext cx="802411" cy="2247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0</xdr:row>
      <xdr:rowOff>314325</xdr:rowOff>
    </xdr:from>
    <xdr:to>
      <xdr:col>6</xdr:col>
      <xdr:colOff>1297711</xdr:colOff>
      <xdr:row>0</xdr:row>
      <xdr:rowOff>535305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CB2BAA9-61ED-405F-A68B-2B42AAD15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3150" y="314325"/>
          <a:ext cx="802411" cy="2209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792480</xdr:colOff>
      <xdr:row>0</xdr:row>
      <xdr:rowOff>249555</xdr:rowOff>
    </xdr:from>
    <xdr:to>
      <xdr:col>3</xdr:col>
      <xdr:colOff>1583461</xdr:colOff>
      <xdr:row>0</xdr:row>
      <xdr:rowOff>474345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998A2A0-7B6F-40F0-B25C-467C828A6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7555" y="249555"/>
          <a:ext cx="794791" cy="228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523875</xdr:colOff>
      <xdr:row>0</xdr:row>
      <xdr:rowOff>304800</xdr:rowOff>
    </xdr:from>
    <xdr:to>
      <xdr:col>5</xdr:col>
      <xdr:colOff>1316761</xdr:colOff>
      <xdr:row>0</xdr:row>
      <xdr:rowOff>512445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1E53BB4-65D1-49FC-B210-60BC172C9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5225" y="304800"/>
          <a:ext cx="802411" cy="2190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1019175</xdr:colOff>
      <xdr:row>0</xdr:row>
      <xdr:rowOff>314325</xdr:rowOff>
    </xdr:from>
    <xdr:to>
      <xdr:col>1</xdr:col>
      <xdr:colOff>1808251</xdr:colOff>
      <xdr:row>0</xdr:row>
      <xdr:rowOff>535305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425AE39-F8F2-468F-9420-E77E77BD7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314325"/>
          <a:ext cx="802411" cy="220980"/>
        </a:xfrm>
        <a:prstGeom prst="rect">
          <a:avLst/>
        </a:prstGeom>
      </xdr:spPr>
    </xdr:pic>
    <xdr:clientData/>
  </xdr:twoCellAnchor>
  <xdr:twoCellAnchor>
    <xdr:from>
      <xdr:col>0</xdr:col>
      <xdr:colOff>55245</xdr:colOff>
      <xdr:row>36</xdr:row>
      <xdr:rowOff>30480</xdr:rowOff>
    </xdr:from>
    <xdr:to>
      <xdr:col>2</xdr:col>
      <xdr:colOff>38100</xdr:colOff>
      <xdr:row>36</xdr:row>
      <xdr:rowOff>497205</xdr:rowOff>
    </xdr:to>
    <xdr:sp macro="" textlink="">
      <xdr:nvSpPr>
        <xdr:cNvPr id="4" name="Retângulo: Cantos Arredondado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502EAAC-F04A-7CFF-DB98-89D6D1703550}"/>
            </a:ext>
          </a:extLst>
        </xdr:cNvPr>
        <xdr:cNvSpPr/>
      </xdr:nvSpPr>
      <xdr:spPr>
        <a:xfrm>
          <a:off x="55245" y="8288655"/>
          <a:ext cx="4926330" cy="466725"/>
        </a:xfrm>
        <a:prstGeom prst="roundRect">
          <a:avLst/>
        </a:prstGeom>
        <a:solidFill>
          <a:srgbClr val="00743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600" b="1">
              <a:latin typeface="Montserrat" panose="00000500000000000000" pitchFamily="2" charset="0"/>
            </a:rPr>
            <a:t>Agendar</a:t>
          </a:r>
          <a:r>
            <a:rPr lang="pt-BR" sz="1600" b="1" baseline="0">
              <a:latin typeface="Montserrat" panose="00000500000000000000" pitchFamily="2" charset="0"/>
            </a:rPr>
            <a:t> conversa</a:t>
          </a:r>
          <a:endParaRPr lang="pt-BR" sz="1600" b="1">
            <a:latin typeface="Montserrat" panose="00000500000000000000" pitchFamily="2" charset="0"/>
          </a:endParaRPr>
        </a:p>
      </xdr:txBody>
    </xdr:sp>
    <xdr:clientData/>
  </xdr:twoCellAnchor>
  <xdr:twoCellAnchor editAs="oneCell">
    <xdr:from>
      <xdr:col>0</xdr:col>
      <xdr:colOff>11429</xdr:colOff>
      <xdr:row>22</xdr:row>
      <xdr:rowOff>188595</xdr:rowOff>
    </xdr:from>
    <xdr:to>
      <xdr:col>2</xdr:col>
      <xdr:colOff>38099</xdr:colOff>
      <xdr:row>22</xdr:row>
      <xdr:rowOff>1445844</xdr:rowOff>
    </xdr:to>
    <xdr:pic>
      <xdr:nvPicPr>
        <xdr:cNvPr id="5" name="Imagem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AD86101-4F1F-0875-8115-66F3A2E9E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29" y="5217795"/>
          <a:ext cx="4970145" cy="1257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A7C59"/>
  </sheetPr>
  <dimension ref="A1:J46"/>
  <sheetViews>
    <sheetView showGridLines="0" tabSelected="1" workbookViewId="0">
      <selection activeCell="C29" sqref="C29"/>
    </sheetView>
  </sheetViews>
  <sheetFormatPr defaultRowHeight="15.6" x14ac:dyDescent="0.3"/>
  <cols>
    <col min="1" max="1" width="45" style="5" customWidth="1"/>
    <col min="2" max="2" width="24" style="5" customWidth="1"/>
    <col min="3" max="3" width="45.21875" style="5" bestFit="1" customWidth="1"/>
    <col min="4" max="9" width="8.88671875" style="5"/>
    <col min="10" max="10" width="21.21875" style="5" bestFit="1" customWidth="1"/>
    <col min="11" max="16384" width="8.88671875" style="5"/>
  </cols>
  <sheetData>
    <row r="1" spans="1:3" ht="60.6" customHeight="1" x14ac:dyDescent="0.3">
      <c r="A1" s="42" t="s">
        <v>145</v>
      </c>
    </row>
    <row r="2" spans="1:3" ht="6" customHeight="1" x14ac:dyDescent="0.3">
      <c r="A2" s="19"/>
      <c r="B2" s="19"/>
      <c r="C2" s="19"/>
    </row>
    <row r="3" spans="1:3" ht="30" customHeight="1" x14ac:dyDescent="0.3">
      <c r="A3" s="3" t="s">
        <v>0</v>
      </c>
      <c r="B3" s="4"/>
      <c r="C3" s="4"/>
    </row>
    <row r="4" spans="1:3" x14ac:dyDescent="0.3">
      <c r="A4" s="20" t="s">
        <v>1</v>
      </c>
      <c r="B4" s="4"/>
      <c r="C4" s="4"/>
    </row>
    <row r="6" spans="1:3" x14ac:dyDescent="0.3">
      <c r="A6" s="11" t="s">
        <v>2</v>
      </c>
      <c r="B6" s="12"/>
      <c r="C6" s="12"/>
    </row>
    <row r="7" spans="1:3" x14ac:dyDescent="0.3">
      <c r="A7" s="10" t="s">
        <v>3</v>
      </c>
      <c r="B7" s="21">
        <v>12000000</v>
      </c>
    </row>
    <row r="8" spans="1:3" x14ac:dyDescent="0.3">
      <c r="A8" s="10" t="s">
        <v>4</v>
      </c>
      <c r="B8" s="22">
        <v>2</v>
      </c>
    </row>
    <row r="9" spans="1:3" x14ac:dyDescent="0.3">
      <c r="A9" s="23" t="s">
        <v>5</v>
      </c>
    </row>
    <row r="10" spans="1:3" x14ac:dyDescent="0.3">
      <c r="A10" s="10" t="s">
        <v>6</v>
      </c>
      <c r="B10" s="21">
        <v>9000000</v>
      </c>
    </row>
    <row r="11" spans="1:3" x14ac:dyDescent="0.3">
      <c r="A11" s="10" t="s">
        <v>7</v>
      </c>
      <c r="B11" s="21">
        <v>3000000</v>
      </c>
    </row>
    <row r="12" spans="1:3" x14ac:dyDescent="0.3">
      <c r="A12" s="10" t="s">
        <v>8</v>
      </c>
      <c r="B12" s="21">
        <v>0</v>
      </c>
    </row>
    <row r="13" spans="1:3" x14ac:dyDescent="0.3">
      <c r="A13" s="10" t="s">
        <v>9</v>
      </c>
      <c r="B13" s="21">
        <v>0</v>
      </c>
    </row>
    <row r="14" spans="1:3" x14ac:dyDescent="0.3">
      <c r="A14" s="10" t="s">
        <v>10</v>
      </c>
      <c r="B14" s="21">
        <v>0</v>
      </c>
    </row>
    <row r="15" spans="1:3" x14ac:dyDescent="0.3">
      <c r="A15" s="7" t="s">
        <v>11</v>
      </c>
      <c r="B15" s="9">
        <f>SUM(B10:B14)</f>
        <v>12000000</v>
      </c>
    </row>
    <row r="16" spans="1:3" x14ac:dyDescent="0.3">
      <c r="A16" s="10" t="s">
        <v>12</v>
      </c>
      <c r="B16" s="8">
        <f>B7-B15</f>
        <v>0</v>
      </c>
    </row>
    <row r="18" spans="1:10" x14ac:dyDescent="0.3">
      <c r="A18" s="11" t="s">
        <v>13</v>
      </c>
      <c r="B18" s="12"/>
      <c r="C18" s="12"/>
    </row>
    <row r="19" spans="1:10" x14ac:dyDescent="0.3">
      <c r="A19" s="10" t="s">
        <v>14</v>
      </c>
      <c r="B19" s="24">
        <v>0.32</v>
      </c>
      <c r="J19" s="43"/>
    </row>
    <row r="20" spans="1:10" x14ac:dyDescent="0.3">
      <c r="A20" s="10" t="s">
        <v>15</v>
      </c>
      <c r="B20" s="24">
        <v>0.1</v>
      </c>
      <c r="J20" s="43"/>
    </row>
    <row r="21" spans="1:10" x14ac:dyDescent="0.3">
      <c r="A21" s="10" t="s">
        <v>16</v>
      </c>
      <c r="B21" s="13">
        <f>B19*(1+B20)</f>
        <v>0.35200000000000004</v>
      </c>
    </row>
    <row r="22" spans="1:10" x14ac:dyDescent="0.3">
      <c r="A22" s="10" t="s">
        <v>17</v>
      </c>
      <c r="B22" s="21">
        <v>5000000</v>
      </c>
    </row>
    <row r="23" spans="1:10" x14ac:dyDescent="0.3">
      <c r="A23" s="10" t="s">
        <v>18</v>
      </c>
      <c r="B23" s="8">
        <f>B22/4</f>
        <v>1250000</v>
      </c>
    </row>
    <row r="24" spans="1:10" x14ac:dyDescent="0.3">
      <c r="A24" s="10" t="s">
        <v>19</v>
      </c>
      <c r="B24" s="24">
        <v>0.15</v>
      </c>
    </row>
    <row r="25" spans="1:10" x14ac:dyDescent="0.3">
      <c r="A25" s="10" t="s">
        <v>20</v>
      </c>
      <c r="B25" s="24">
        <v>0.1</v>
      </c>
    </row>
    <row r="26" spans="1:10" x14ac:dyDescent="0.3">
      <c r="A26" s="10" t="s">
        <v>21</v>
      </c>
      <c r="B26" s="21">
        <v>60000</v>
      </c>
    </row>
    <row r="27" spans="1:10" x14ac:dyDescent="0.3">
      <c r="A27" s="10" t="s">
        <v>22</v>
      </c>
      <c r="B27" s="24">
        <v>0.09</v>
      </c>
    </row>
    <row r="28" spans="1:10" x14ac:dyDescent="0.3">
      <c r="A28" s="10" t="s">
        <v>23</v>
      </c>
      <c r="B28" s="24">
        <v>6.4999999999999997E-3</v>
      </c>
    </row>
    <row r="29" spans="1:10" x14ac:dyDescent="0.3">
      <c r="A29" s="10" t="s">
        <v>24</v>
      </c>
      <c r="B29" s="24">
        <v>0.03</v>
      </c>
    </row>
    <row r="30" spans="1:10" x14ac:dyDescent="0.3">
      <c r="A30" s="10" t="s">
        <v>25</v>
      </c>
      <c r="B30" s="24">
        <v>0.05</v>
      </c>
      <c r="C30" s="41" t="s">
        <v>26</v>
      </c>
      <c r="D30" s="40"/>
      <c r="E30" s="40"/>
    </row>
    <row r="32" spans="1:10" x14ac:dyDescent="0.3">
      <c r="A32" s="11" t="s">
        <v>27</v>
      </c>
      <c r="B32" s="12"/>
      <c r="C32" s="12"/>
    </row>
    <row r="33" spans="1:3" x14ac:dyDescent="0.3">
      <c r="A33" s="10" t="s">
        <v>142</v>
      </c>
      <c r="B33" s="21">
        <v>1500</v>
      </c>
    </row>
    <row r="34" spans="1:3" x14ac:dyDescent="0.3">
      <c r="A34" s="10" t="s">
        <v>28</v>
      </c>
      <c r="B34" s="21">
        <v>1500</v>
      </c>
    </row>
    <row r="35" spans="1:3" x14ac:dyDescent="0.3">
      <c r="A35" s="10" t="s">
        <v>29</v>
      </c>
      <c r="B35" s="21">
        <v>10000</v>
      </c>
    </row>
    <row r="36" spans="1:3" x14ac:dyDescent="0.3">
      <c r="A36" s="10" t="s">
        <v>143</v>
      </c>
      <c r="B36" s="21">
        <v>2540</v>
      </c>
    </row>
    <row r="37" spans="1:3" x14ac:dyDescent="0.3">
      <c r="A37" s="10" t="s">
        <v>144</v>
      </c>
      <c r="B37" s="21">
        <v>8857</v>
      </c>
    </row>
    <row r="38" spans="1:3" x14ac:dyDescent="0.3">
      <c r="A38" s="10" t="s">
        <v>30</v>
      </c>
      <c r="B38" s="25" t="s">
        <v>31</v>
      </c>
    </row>
    <row r="39" spans="1:3" x14ac:dyDescent="0.3">
      <c r="A39" s="10" t="s">
        <v>32</v>
      </c>
      <c r="B39" s="8">
        <f>IF(B38="Consultoria CVM",B36,IF(B38="Wealth/Gestora",B37,0))</f>
        <v>2540</v>
      </c>
    </row>
    <row r="40" spans="1:3" ht="31.2" x14ac:dyDescent="0.3">
      <c r="A40" s="7" t="s">
        <v>33</v>
      </c>
      <c r="B40" s="9">
        <f>(B33+B34)*12+B39</f>
        <v>38540</v>
      </c>
    </row>
    <row r="42" spans="1:3" x14ac:dyDescent="0.3">
      <c r="A42" s="17" t="s">
        <v>34</v>
      </c>
      <c r="B42" s="4"/>
      <c r="C42" s="4"/>
    </row>
    <row r="43" spans="1:3" x14ac:dyDescent="0.3">
      <c r="A43" s="17" t="s">
        <v>35</v>
      </c>
      <c r="B43" s="4"/>
      <c r="C43" s="4"/>
    </row>
    <row r="44" spans="1:3" x14ac:dyDescent="0.3">
      <c r="A44" s="17" t="s">
        <v>36</v>
      </c>
      <c r="B44" s="4"/>
      <c r="C44" s="4"/>
    </row>
    <row r="45" spans="1:3" x14ac:dyDescent="0.3">
      <c r="A45" s="17" t="s">
        <v>37</v>
      </c>
      <c r="B45" s="4"/>
      <c r="C45" s="4"/>
    </row>
    <row r="46" spans="1:3" x14ac:dyDescent="0.3">
      <c r="A46" s="17" t="s">
        <v>38</v>
      </c>
      <c r="B46" s="4"/>
      <c r="C46" s="4"/>
    </row>
  </sheetData>
  <mergeCells count="7">
    <mergeCell ref="A42:C42"/>
    <mergeCell ref="A44:C44"/>
    <mergeCell ref="A45:C45"/>
    <mergeCell ref="A46:C46"/>
    <mergeCell ref="A3:C3"/>
    <mergeCell ref="A4:C4"/>
    <mergeCell ref="A43:C43"/>
  </mergeCells>
  <dataValidations count="1">
    <dataValidation type="list" sqref="B38" xr:uid="{00000000-0002-0000-0000-000000000000}">
      <formula1>"Consultoria CVM,Wealth/Gestora,Genérica"</formula1>
    </dataValidation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A7C59"/>
  </sheetPr>
  <dimension ref="A1:G33"/>
  <sheetViews>
    <sheetView showGridLines="0" zoomScale="85" zoomScaleNormal="85" workbookViewId="0">
      <selection activeCell="D10" sqref="D10"/>
    </sheetView>
  </sheetViews>
  <sheetFormatPr defaultRowHeight="23.4" x14ac:dyDescent="0.8"/>
  <cols>
    <col min="1" max="1" width="38" style="1" customWidth="1"/>
    <col min="2" max="7" width="20" style="1" customWidth="1"/>
    <col min="8" max="16384" width="8.88671875" style="1"/>
  </cols>
  <sheetData>
    <row r="1" spans="1:7" ht="60" customHeight="1" x14ac:dyDescent="0.8"/>
    <row r="2" spans="1:7" ht="6" customHeight="1" x14ac:dyDescent="0.8">
      <c r="A2" s="2"/>
      <c r="B2" s="2"/>
      <c r="C2" s="2"/>
      <c r="D2" s="2"/>
      <c r="E2" s="2"/>
      <c r="F2" s="2"/>
      <c r="G2" s="2"/>
    </row>
    <row r="3" spans="1:7" ht="30" customHeight="1" x14ac:dyDescent="0.8">
      <c r="A3" s="3" t="s">
        <v>39</v>
      </c>
      <c r="B3" s="4"/>
      <c r="C3" s="4"/>
      <c r="D3" s="4"/>
      <c r="E3" s="4"/>
      <c r="F3" s="4"/>
      <c r="G3" s="4"/>
    </row>
    <row r="4" spans="1:7" x14ac:dyDescent="0.8">
      <c r="A4" s="5"/>
      <c r="B4" s="5"/>
      <c r="C4" s="5"/>
      <c r="D4" s="5"/>
      <c r="E4" s="5"/>
      <c r="F4" s="5"/>
      <c r="G4" s="5"/>
    </row>
    <row r="5" spans="1:7" x14ac:dyDescent="0.8">
      <c r="A5" s="6"/>
      <c r="B5" s="6" t="s">
        <v>40</v>
      </c>
      <c r="C5" s="6" t="s">
        <v>41</v>
      </c>
      <c r="D5" s="6" t="s">
        <v>42</v>
      </c>
      <c r="E5" s="6" t="s">
        <v>43</v>
      </c>
      <c r="F5" s="6" t="s">
        <v>44</v>
      </c>
      <c r="G5" s="6" t="s">
        <v>45</v>
      </c>
    </row>
    <row r="6" spans="1:7" x14ac:dyDescent="0.8">
      <c r="A6" s="7" t="s">
        <v>46</v>
      </c>
      <c r="B6" s="8">
        <f>Premissas!B10</f>
        <v>9000000</v>
      </c>
      <c r="C6" s="8">
        <f>Premissas!B11</f>
        <v>3000000</v>
      </c>
      <c r="D6" s="8">
        <f>Premissas!B12</f>
        <v>0</v>
      </c>
      <c r="E6" s="8">
        <f>Premissas!B13</f>
        <v>0</v>
      </c>
      <c r="F6" s="8">
        <f>Premissas!B14</f>
        <v>0</v>
      </c>
      <c r="G6" s="9">
        <f>SUM(B6:F6)</f>
        <v>12000000</v>
      </c>
    </row>
    <row r="7" spans="1:7" x14ac:dyDescent="0.8">
      <c r="A7" s="10" t="s">
        <v>47</v>
      </c>
      <c r="B7" s="8">
        <f>B6/4</f>
        <v>2250000</v>
      </c>
      <c r="C7" s="8">
        <f>C6/4</f>
        <v>750000</v>
      </c>
      <c r="D7" s="8">
        <f>D6/4</f>
        <v>0</v>
      </c>
      <c r="E7" s="8">
        <f>E6/4</f>
        <v>0</v>
      </c>
      <c r="F7" s="8">
        <f>F6/4</f>
        <v>0</v>
      </c>
      <c r="G7" s="8">
        <f>SUM(B7:F7)</f>
        <v>3000000</v>
      </c>
    </row>
    <row r="8" spans="1:7" x14ac:dyDescent="0.8">
      <c r="A8" s="10" t="s">
        <v>48</v>
      </c>
      <c r="B8" s="8">
        <f>MIN(B7,Premissas!$B$23)</f>
        <v>1250000</v>
      </c>
      <c r="C8" s="8">
        <f>MIN(C7,Premissas!$B$23)</f>
        <v>750000</v>
      </c>
      <c r="D8" s="8">
        <f>MIN(D7,Premissas!$B$23)</f>
        <v>0</v>
      </c>
      <c r="E8" s="8">
        <f>MIN(E7,Premissas!$B$23)</f>
        <v>0</v>
      </c>
      <c r="F8" s="8">
        <f>MIN(F7,Premissas!$B$23)</f>
        <v>0</v>
      </c>
      <c r="G8" s="8">
        <f>SUM(B8:F8)</f>
        <v>2000000</v>
      </c>
    </row>
    <row r="9" spans="1:7" x14ac:dyDescent="0.8">
      <c r="A9" s="10" t="s">
        <v>49</v>
      </c>
      <c r="B9" s="8">
        <f>MAX(B7-Premissas!$B$23,0)</f>
        <v>1000000</v>
      </c>
      <c r="C9" s="8">
        <f>MAX(C7-Premissas!$B$23,0)</f>
        <v>0</v>
      </c>
      <c r="D9" s="8">
        <f>MAX(D7-Premissas!$B$23,0)</f>
        <v>0</v>
      </c>
      <c r="E9" s="8">
        <f>MAX(E7-Premissas!$B$23,0)</f>
        <v>0</v>
      </c>
      <c r="F9" s="8">
        <f>MAX(F7-Premissas!$B$23,0)</f>
        <v>0</v>
      </c>
      <c r="G9" s="8">
        <f>SUM(B9:F9)</f>
        <v>1000000</v>
      </c>
    </row>
    <row r="10" spans="1:7" x14ac:dyDescent="0.8">
      <c r="A10" s="5"/>
      <c r="B10" s="5"/>
      <c r="C10" s="5"/>
      <c r="D10" s="5"/>
      <c r="E10" s="5"/>
      <c r="F10" s="5"/>
      <c r="G10" s="5"/>
    </row>
    <row r="11" spans="1:7" x14ac:dyDescent="0.8">
      <c r="A11" s="11" t="s">
        <v>50</v>
      </c>
      <c r="B11" s="12"/>
      <c r="C11" s="12"/>
      <c r="D11" s="12"/>
      <c r="E11" s="12"/>
      <c r="F11" s="12"/>
      <c r="G11" s="12"/>
    </row>
    <row r="12" spans="1:7" x14ac:dyDescent="0.8">
      <c r="A12" s="10" t="s">
        <v>51</v>
      </c>
      <c r="B12" s="8">
        <f>B8*Premissas!$B$19</f>
        <v>400000</v>
      </c>
      <c r="C12" s="8">
        <f>C8*Premissas!$B$19</f>
        <v>240000</v>
      </c>
      <c r="D12" s="8">
        <f>D8*Premissas!$B$19</f>
        <v>0</v>
      </c>
      <c r="E12" s="8">
        <f>E8*Premissas!$B$19</f>
        <v>0</v>
      </c>
      <c r="F12" s="8">
        <f>F8*Premissas!$B$19</f>
        <v>0</v>
      </c>
      <c r="G12" s="8">
        <f>SUM(B12:F12)</f>
        <v>640000</v>
      </c>
    </row>
    <row r="13" spans="1:7" x14ac:dyDescent="0.8">
      <c r="A13" s="10" t="s">
        <v>52</v>
      </c>
      <c r="B13" s="8">
        <f>B9*Premissas!$B$21</f>
        <v>352000.00000000006</v>
      </c>
      <c r="C13" s="8">
        <f>C9*Premissas!$B$21</f>
        <v>0</v>
      </c>
      <c r="D13" s="8">
        <f>D9*Premissas!$B$21</f>
        <v>0</v>
      </c>
      <c r="E13" s="8">
        <f>E9*Premissas!$B$21</f>
        <v>0</v>
      </c>
      <c r="F13" s="8">
        <f>F9*Premissas!$B$21</f>
        <v>0</v>
      </c>
      <c r="G13" s="8">
        <f>SUM(B13:F13)</f>
        <v>352000.00000000006</v>
      </c>
    </row>
    <row r="14" spans="1:7" x14ac:dyDescent="0.8">
      <c r="A14" s="7" t="s">
        <v>53</v>
      </c>
      <c r="B14" s="9">
        <f>B12+B13</f>
        <v>752000</v>
      </c>
      <c r="C14" s="9">
        <f>C12+C13</f>
        <v>240000</v>
      </c>
      <c r="D14" s="9">
        <f>D12+D13</f>
        <v>0</v>
      </c>
      <c r="E14" s="9">
        <f>E12+E13</f>
        <v>0</v>
      </c>
      <c r="F14" s="9">
        <f>F12+F13</f>
        <v>0</v>
      </c>
      <c r="G14" s="9">
        <f>SUM(B14:F14)</f>
        <v>992000</v>
      </c>
    </row>
    <row r="15" spans="1:7" x14ac:dyDescent="0.8">
      <c r="A15" s="5"/>
      <c r="B15" s="5"/>
      <c r="C15" s="5"/>
      <c r="D15" s="5"/>
      <c r="E15" s="5"/>
      <c r="F15" s="5"/>
      <c r="G15" s="5"/>
    </row>
    <row r="16" spans="1:7" x14ac:dyDescent="0.8">
      <c r="A16" s="11" t="s">
        <v>54</v>
      </c>
      <c r="B16" s="12"/>
      <c r="C16" s="12"/>
      <c r="D16" s="12"/>
      <c r="E16" s="12"/>
      <c r="F16" s="12"/>
      <c r="G16" s="12"/>
    </row>
    <row r="17" spans="1:7" x14ac:dyDescent="0.8">
      <c r="A17" s="10" t="s">
        <v>55</v>
      </c>
      <c r="B17" s="8">
        <f>B14*Premissas!$B$24</f>
        <v>112800</v>
      </c>
      <c r="C17" s="8">
        <f>C14*Premissas!$B$24</f>
        <v>36000</v>
      </c>
      <c r="D17" s="8">
        <f>D14*Premissas!$B$24</f>
        <v>0</v>
      </c>
      <c r="E17" s="8">
        <f>E14*Premissas!$B$24</f>
        <v>0</v>
      </c>
      <c r="F17" s="8">
        <f>F14*Premissas!$B$24</f>
        <v>0</v>
      </c>
      <c r="G17" s="8">
        <f t="shared" ref="G17:G24" si="0">SUM(B17:F17)</f>
        <v>148800</v>
      </c>
    </row>
    <row r="18" spans="1:7" x14ac:dyDescent="0.8">
      <c r="A18" s="10" t="s">
        <v>56</v>
      </c>
      <c r="B18" s="8">
        <f>MAX(B14-Premissas!$B$26,0)*Premissas!$B$25</f>
        <v>69200</v>
      </c>
      <c r="C18" s="8">
        <f>MAX(C14-Premissas!$B$26,0)*Premissas!$B$25</f>
        <v>18000</v>
      </c>
      <c r="D18" s="8">
        <f>MAX(D14-Premissas!$B$26,0)*Premissas!$B$25</f>
        <v>0</v>
      </c>
      <c r="E18" s="8">
        <f>MAX(E14-Premissas!$B$26,0)*Premissas!$B$25</f>
        <v>0</v>
      </c>
      <c r="F18" s="8">
        <f>MAX(F14-Premissas!$B$26,0)*Premissas!$B$25</f>
        <v>0</v>
      </c>
      <c r="G18" s="8">
        <f t="shared" si="0"/>
        <v>87200</v>
      </c>
    </row>
    <row r="19" spans="1:7" x14ac:dyDescent="0.8">
      <c r="A19" s="7" t="s">
        <v>57</v>
      </c>
      <c r="B19" s="9">
        <f>B17+B18</f>
        <v>182000</v>
      </c>
      <c r="C19" s="9">
        <f>C17+C18</f>
        <v>54000</v>
      </c>
      <c r="D19" s="9">
        <f>D17+D18</f>
        <v>0</v>
      </c>
      <c r="E19" s="9">
        <f>E17+E18</f>
        <v>0</v>
      </c>
      <c r="F19" s="9">
        <f>F17+F18</f>
        <v>0</v>
      </c>
      <c r="G19" s="9">
        <f t="shared" si="0"/>
        <v>236000</v>
      </c>
    </row>
    <row r="20" spans="1:7" x14ac:dyDescent="0.8">
      <c r="A20" s="10" t="s">
        <v>58</v>
      </c>
      <c r="B20" s="8">
        <f>B14*Premissas!$B$27</f>
        <v>67680</v>
      </c>
      <c r="C20" s="8">
        <f>C14*Premissas!$B$27</f>
        <v>21600</v>
      </c>
      <c r="D20" s="8">
        <f>D14*Premissas!$B$27</f>
        <v>0</v>
      </c>
      <c r="E20" s="8">
        <f>E14*Premissas!$B$27</f>
        <v>0</v>
      </c>
      <c r="F20" s="8">
        <f>F14*Premissas!$B$27</f>
        <v>0</v>
      </c>
      <c r="G20" s="8">
        <f t="shared" si="0"/>
        <v>89280</v>
      </c>
    </row>
    <row r="21" spans="1:7" x14ac:dyDescent="0.8">
      <c r="A21" s="10" t="s">
        <v>59</v>
      </c>
      <c r="B21" s="8">
        <f>B7*Premissas!$B$28</f>
        <v>14625</v>
      </c>
      <c r="C21" s="8">
        <f>C7*Premissas!$B$28</f>
        <v>4875</v>
      </c>
      <c r="D21" s="8">
        <f>D7*Premissas!$B$28</f>
        <v>0</v>
      </c>
      <c r="E21" s="8">
        <f>E7*Premissas!$B$28</f>
        <v>0</v>
      </c>
      <c r="F21" s="8">
        <f>F7*Premissas!$B$28</f>
        <v>0</v>
      </c>
      <c r="G21" s="8">
        <f t="shared" si="0"/>
        <v>19500</v>
      </c>
    </row>
    <row r="22" spans="1:7" x14ac:dyDescent="0.8">
      <c r="A22" s="10" t="s">
        <v>60</v>
      </c>
      <c r="B22" s="8">
        <f>B7*Premissas!$B$29</f>
        <v>67500</v>
      </c>
      <c r="C22" s="8">
        <f>C7*Premissas!$B$29</f>
        <v>22500</v>
      </c>
      <c r="D22" s="8">
        <f>D7*Premissas!$B$29</f>
        <v>0</v>
      </c>
      <c r="E22" s="8">
        <f>E7*Premissas!$B$29</f>
        <v>0</v>
      </c>
      <c r="F22" s="8">
        <f>F7*Premissas!$B$29</f>
        <v>0</v>
      </c>
      <c r="G22" s="8">
        <f t="shared" si="0"/>
        <v>90000</v>
      </c>
    </row>
    <row r="23" spans="1:7" x14ac:dyDescent="0.8">
      <c r="A23" s="10" t="s">
        <v>61</v>
      </c>
      <c r="B23" s="8">
        <f>B7*Premissas!$B$30</f>
        <v>112500</v>
      </c>
      <c r="C23" s="8">
        <f>C7*Premissas!$B$30</f>
        <v>37500</v>
      </c>
      <c r="D23" s="8">
        <f>D7*Premissas!$B$30</f>
        <v>0</v>
      </c>
      <c r="E23" s="8">
        <f>E7*Premissas!$B$30</f>
        <v>0</v>
      </c>
      <c r="F23" s="8">
        <f>F7*Premissas!$B$30</f>
        <v>0</v>
      </c>
      <c r="G23" s="8">
        <f t="shared" si="0"/>
        <v>150000</v>
      </c>
    </row>
    <row r="24" spans="1:7" x14ac:dyDescent="0.8">
      <c r="A24" s="7" t="s">
        <v>62</v>
      </c>
      <c r="B24" s="9">
        <f>B19+B20+B21+B22+B23</f>
        <v>444305</v>
      </c>
      <c r="C24" s="9">
        <f>C19+C20+C21+C22+C23</f>
        <v>140475</v>
      </c>
      <c r="D24" s="9">
        <f>D19+D20+D21+D22+D23</f>
        <v>0</v>
      </c>
      <c r="E24" s="9">
        <f>E19+E20+E21+E22+E23</f>
        <v>0</v>
      </c>
      <c r="F24" s="9">
        <f>F19+F20+F21+F22+F23</f>
        <v>0</v>
      </c>
      <c r="G24" s="9">
        <f t="shared" si="0"/>
        <v>584780</v>
      </c>
    </row>
    <row r="25" spans="1:7" x14ac:dyDescent="0.8">
      <c r="A25" s="5"/>
      <c r="B25" s="5"/>
      <c r="C25" s="5"/>
      <c r="D25" s="5"/>
      <c r="E25" s="5"/>
      <c r="F25" s="5"/>
      <c r="G25" s="5"/>
    </row>
    <row r="26" spans="1:7" x14ac:dyDescent="0.8">
      <c r="A26" s="11" t="s">
        <v>63</v>
      </c>
      <c r="B26" s="12"/>
      <c r="C26" s="12"/>
      <c r="D26" s="12"/>
      <c r="E26" s="12"/>
      <c r="F26" s="12"/>
      <c r="G26" s="12"/>
    </row>
    <row r="27" spans="1:7" x14ac:dyDescent="0.8">
      <c r="A27" s="7" t="s">
        <v>64</v>
      </c>
      <c r="B27" s="9">
        <f>B24*4</f>
        <v>1777220</v>
      </c>
      <c r="C27" s="9">
        <f>C24*4</f>
        <v>561900</v>
      </c>
      <c r="D27" s="9">
        <f>D24*4</f>
        <v>0</v>
      </c>
      <c r="E27" s="9">
        <f>E24*4</f>
        <v>0</v>
      </c>
      <c r="F27" s="9">
        <f>F24*4</f>
        <v>0</v>
      </c>
      <c r="G27" s="9">
        <f>SUM(B27:F27)</f>
        <v>2339120</v>
      </c>
    </row>
    <row r="28" spans="1:7" x14ac:dyDescent="0.8">
      <c r="A28" s="10" t="s">
        <v>65</v>
      </c>
      <c r="B28" s="13">
        <f t="shared" ref="B28:G28" si="1">IF(B6&gt;0,B27/B6,0)</f>
        <v>0.19746888888888889</v>
      </c>
      <c r="C28" s="13">
        <f t="shared" si="1"/>
        <v>0.18729999999999999</v>
      </c>
      <c r="D28" s="13">
        <f t="shared" si="1"/>
        <v>0</v>
      </c>
      <c r="E28" s="13">
        <f t="shared" si="1"/>
        <v>0</v>
      </c>
      <c r="F28" s="13">
        <f t="shared" si="1"/>
        <v>0</v>
      </c>
      <c r="G28" s="14">
        <f t="shared" si="1"/>
        <v>0.19492666666666666</v>
      </c>
    </row>
    <row r="29" spans="1:7" x14ac:dyDescent="0.8">
      <c r="A29" s="10" t="s">
        <v>66</v>
      </c>
      <c r="B29" s="5"/>
      <c r="C29" s="5"/>
      <c r="D29" s="5"/>
      <c r="E29" s="5"/>
      <c r="F29" s="5"/>
      <c r="G29" s="8">
        <f>Premissas!B8*(Premissas!B33+Premissas!B34)*12</f>
        <v>72000</v>
      </c>
    </row>
    <row r="30" spans="1:7" ht="31.2" x14ac:dyDescent="0.8">
      <c r="A30" s="7" t="s">
        <v>67</v>
      </c>
      <c r="B30" s="5"/>
      <c r="C30" s="5"/>
      <c r="D30" s="5"/>
      <c r="E30" s="5"/>
      <c r="F30" s="5"/>
      <c r="G30" s="15">
        <f>G27+G29</f>
        <v>2411120</v>
      </c>
    </row>
    <row r="31" spans="1:7" x14ac:dyDescent="0.8">
      <c r="A31" s="5"/>
      <c r="B31" s="5"/>
      <c r="C31" s="5"/>
      <c r="D31" s="5"/>
      <c r="E31" s="5"/>
      <c r="F31" s="5"/>
      <c r="G31" s="5"/>
    </row>
    <row r="32" spans="1:7" x14ac:dyDescent="0.8">
      <c r="A32" s="16" t="s">
        <v>68</v>
      </c>
      <c r="B32" s="4"/>
      <c r="C32" s="4"/>
      <c r="D32" s="4"/>
      <c r="E32" s="4"/>
      <c r="F32" s="4"/>
      <c r="G32" s="4"/>
    </row>
    <row r="33" spans="1:7" x14ac:dyDescent="0.8">
      <c r="A33" s="17" t="s">
        <v>69</v>
      </c>
      <c r="B33" s="4"/>
      <c r="C33" s="4"/>
      <c r="D33" s="4"/>
      <c r="E33" s="4"/>
      <c r="F33" s="4"/>
      <c r="G33" s="4"/>
    </row>
  </sheetData>
  <mergeCells count="3">
    <mergeCell ref="A32:G32"/>
    <mergeCell ref="A3:G3"/>
    <mergeCell ref="A33:G33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4A7C59"/>
  </sheetPr>
  <dimension ref="A1:D53"/>
  <sheetViews>
    <sheetView showGridLines="0" workbookViewId="0">
      <selection activeCell="B17" sqref="B17"/>
    </sheetView>
  </sheetViews>
  <sheetFormatPr defaultRowHeight="15.6" x14ac:dyDescent="0.3"/>
  <cols>
    <col min="1" max="1" width="44" style="5" customWidth="1"/>
    <col min="2" max="4" width="24" style="5" customWidth="1"/>
    <col min="5" max="16384" width="8.88671875" style="5"/>
  </cols>
  <sheetData>
    <row r="1" spans="1:4" ht="60.6" customHeight="1" x14ac:dyDescent="0.3"/>
    <row r="2" spans="1:4" ht="6" customHeight="1" x14ac:dyDescent="0.3">
      <c r="A2" s="19"/>
      <c r="B2" s="19"/>
      <c r="C2" s="19"/>
      <c r="D2" s="19"/>
    </row>
    <row r="3" spans="1:4" ht="30" customHeight="1" x14ac:dyDescent="0.3">
      <c r="A3" s="3" t="s">
        <v>70</v>
      </c>
      <c r="B3" s="4"/>
      <c r="C3" s="4"/>
      <c r="D3" s="4"/>
    </row>
    <row r="5" spans="1:4" ht="34.950000000000003" customHeight="1" x14ac:dyDescent="0.3">
      <c r="A5" s="6"/>
      <c r="B5" s="6" t="s">
        <v>71</v>
      </c>
      <c r="C5" s="6" t="s">
        <v>72</v>
      </c>
      <c r="D5" s="6" t="s">
        <v>73</v>
      </c>
    </row>
    <row r="7" spans="1:4" x14ac:dyDescent="0.3">
      <c r="A7" s="11" t="s">
        <v>74</v>
      </c>
      <c r="B7" s="12"/>
      <c r="C7" s="12"/>
      <c r="D7" s="12"/>
    </row>
    <row r="8" spans="1:4" x14ac:dyDescent="0.3">
      <c r="A8" s="10" t="s">
        <v>75</v>
      </c>
      <c r="B8" s="26">
        <f>Premissas!B8</f>
        <v>2</v>
      </c>
      <c r="C8" s="26">
        <f>Premissas!B8</f>
        <v>2</v>
      </c>
      <c r="D8" s="26">
        <f>Premissas!B8</f>
        <v>2</v>
      </c>
    </row>
    <row r="9" spans="1:4" x14ac:dyDescent="0.3">
      <c r="A9" s="10" t="s">
        <v>76</v>
      </c>
      <c r="B9" s="27">
        <v>0</v>
      </c>
      <c r="C9" s="27">
        <v>1</v>
      </c>
      <c r="D9" s="27">
        <v>2</v>
      </c>
    </row>
    <row r="10" spans="1:4" x14ac:dyDescent="0.3">
      <c r="A10" s="7" t="s">
        <v>77</v>
      </c>
      <c r="B10" s="28">
        <f>B8+B9</f>
        <v>2</v>
      </c>
      <c r="C10" s="28">
        <f>C8+C9</f>
        <v>3</v>
      </c>
      <c r="D10" s="28">
        <f>D8+D9</f>
        <v>4</v>
      </c>
    </row>
    <row r="11" spans="1:4" x14ac:dyDescent="0.3">
      <c r="A11" s="10" t="s">
        <v>78</v>
      </c>
      <c r="B11" s="8">
        <f>Premissas!B7</f>
        <v>12000000</v>
      </c>
      <c r="C11" s="8">
        <f>Premissas!B7</f>
        <v>12000000</v>
      </c>
      <c r="D11" s="8">
        <f>Premissas!B7</f>
        <v>12000000</v>
      </c>
    </row>
    <row r="12" spans="1:4" x14ac:dyDescent="0.3">
      <c r="A12" s="10" t="s">
        <v>79</v>
      </c>
      <c r="B12" s="8">
        <f>IF(B10&gt;0,B11/B10,0)</f>
        <v>6000000</v>
      </c>
      <c r="C12" s="8">
        <f>IF(C10&gt;0,C11/C10,0)</f>
        <v>4000000</v>
      </c>
      <c r="D12" s="8">
        <f>IF(D10&gt;0,D11/D10,0)</f>
        <v>3000000</v>
      </c>
    </row>
    <row r="13" spans="1:4" x14ac:dyDescent="0.3">
      <c r="A13" s="10" t="s">
        <v>80</v>
      </c>
      <c r="B13" s="29" t="str">
        <f>IF(B12&gt;Premissas!$B$22,"SIM","NÃO")</f>
        <v>SIM</v>
      </c>
      <c r="C13" s="29" t="str">
        <f>IF(C12&gt;Premissas!$B$22,"SIM","NÃO")</f>
        <v>NÃO</v>
      </c>
      <c r="D13" s="29" t="str">
        <f>IF(D12&gt;Premissas!$B$22,"SIM","NÃO")</f>
        <v>NÃO</v>
      </c>
    </row>
    <row r="15" spans="1:4" x14ac:dyDescent="0.3">
      <c r="A15" s="11" t="s">
        <v>81</v>
      </c>
      <c r="B15" s="12"/>
      <c r="C15" s="12"/>
      <c r="D15" s="12"/>
    </row>
    <row r="16" spans="1:4" x14ac:dyDescent="0.3">
      <c r="A16" s="10" t="s">
        <v>82</v>
      </c>
      <c r="B16" s="8">
        <f>B12/4</f>
        <v>1500000</v>
      </c>
      <c r="C16" s="8">
        <f>C12/4</f>
        <v>1000000</v>
      </c>
      <c r="D16" s="8">
        <f>D12/4</f>
        <v>750000</v>
      </c>
    </row>
    <row r="17" spans="1:4" x14ac:dyDescent="0.3">
      <c r="A17" s="10" t="s">
        <v>83</v>
      </c>
      <c r="B17" s="8">
        <f>MIN(B16,Premissas!$B$23)</f>
        <v>1250000</v>
      </c>
      <c r="C17" s="8">
        <f>MIN(C16,Premissas!$B$23)</f>
        <v>1000000</v>
      </c>
      <c r="D17" s="8">
        <f>MIN(D16,Premissas!$B$23)</f>
        <v>750000</v>
      </c>
    </row>
    <row r="18" spans="1:4" x14ac:dyDescent="0.3">
      <c r="A18" s="10" t="s">
        <v>84</v>
      </c>
      <c r="B18" s="8">
        <f>MAX(B16-Premissas!$B$23,0)</f>
        <v>250000</v>
      </c>
      <c r="C18" s="8">
        <f>MAX(C16-Premissas!$B$23,0)</f>
        <v>0</v>
      </c>
      <c r="D18" s="8">
        <f>MAX(D16-Premissas!$B$23,0)</f>
        <v>0</v>
      </c>
    </row>
    <row r="19" spans="1:4" x14ac:dyDescent="0.3">
      <c r="A19" s="10" t="s">
        <v>85</v>
      </c>
      <c r="B19" s="8">
        <f>B17*Premissas!$B$19</f>
        <v>400000</v>
      </c>
      <c r="C19" s="8">
        <f>C17*Premissas!$B$19</f>
        <v>320000</v>
      </c>
      <c r="D19" s="8">
        <f>D17*Premissas!$B$19</f>
        <v>240000</v>
      </c>
    </row>
    <row r="20" spans="1:4" x14ac:dyDescent="0.3">
      <c r="A20" s="10" t="s">
        <v>86</v>
      </c>
      <c r="B20" s="8">
        <f>B18*Premissas!$B$21</f>
        <v>88000.000000000015</v>
      </c>
      <c r="C20" s="8">
        <f>C18*Premissas!$B$21</f>
        <v>0</v>
      </c>
      <c r="D20" s="8">
        <f>D18*Premissas!$B$21</f>
        <v>0</v>
      </c>
    </row>
    <row r="21" spans="1:4" x14ac:dyDescent="0.3">
      <c r="A21" s="7" t="s">
        <v>53</v>
      </c>
      <c r="B21" s="9">
        <f>B19+B20</f>
        <v>488000</v>
      </c>
      <c r="C21" s="9">
        <f>C19+C20</f>
        <v>320000</v>
      </c>
      <c r="D21" s="9">
        <f>D19+D20</f>
        <v>240000</v>
      </c>
    </row>
    <row r="23" spans="1:4" x14ac:dyDescent="0.3">
      <c r="A23" s="11" t="s">
        <v>87</v>
      </c>
      <c r="B23" s="12"/>
      <c r="C23" s="12"/>
      <c r="D23" s="12"/>
    </row>
    <row r="24" spans="1:4" x14ac:dyDescent="0.3">
      <c r="A24" s="10" t="s">
        <v>55</v>
      </c>
      <c r="B24" s="8">
        <f>B21*Premissas!$B$24</f>
        <v>73200</v>
      </c>
      <c r="C24" s="8">
        <f>C21*Premissas!$B$24</f>
        <v>48000</v>
      </c>
      <c r="D24" s="8">
        <f>D21*Premissas!$B$24</f>
        <v>36000</v>
      </c>
    </row>
    <row r="25" spans="1:4" x14ac:dyDescent="0.3">
      <c r="A25" s="10" t="s">
        <v>88</v>
      </c>
      <c r="B25" s="8">
        <f>MAX(B21-Premissas!$B$26,0)*Premissas!$B$25</f>
        <v>42800</v>
      </c>
      <c r="C25" s="8">
        <f>MAX(C21-Premissas!$B$26,0)*Premissas!$B$25</f>
        <v>26000</v>
      </c>
      <c r="D25" s="8">
        <f>MAX(D21-Premissas!$B$26,0)*Premissas!$B$25</f>
        <v>18000</v>
      </c>
    </row>
    <row r="26" spans="1:4" x14ac:dyDescent="0.3">
      <c r="A26" s="10" t="s">
        <v>58</v>
      </c>
      <c r="B26" s="8">
        <f>B21*Premissas!$B$27</f>
        <v>43920</v>
      </c>
      <c r="C26" s="8">
        <f>C21*Premissas!$B$27</f>
        <v>28800</v>
      </c>
      <c r="D26" s="8">
        <f>D21*Premissas!$B$27</f>
        <v>21600</v>
      </c>
    </row>
    <row r="27" spans="1:4" x14ac:dyDescent="0.3">
      <c r="A27" s="10" t="s">
        <v>59</v>
      </c>
      <c r="B27" s="8">
        <f>B16*Premissas!$B$28</f>
        <v>9750</v>
      </c>
      <c r="C27" s="8">
        <f>C16*Premissas!$B$28</f>
        <v>6500</v>
      </c>
      <c r="D27" s="8">
        <f>D16*Premissas!$B$28</f>
        <v>4875</v>
      </c>
    </row>
    <row r="28" spans="1:4" x14ac:dyDescent="0.3">
      <c r="A28" s="10" t="s">
        <v>60</v>
      </c>
      <c r="B28" s="8">
        <f>B16*Premissas!$B$29</f>
        <v>45000</v>
      </c>
      <c r="C28" s="8">
        <f>C16*Premissas!$B$29</f>
        <v>30000</v>
      </c>
      <c r="D28" s="8">
        <f>D16*Premissas!$B$29</f>
        <v>22500</v>
      </c>
    </row>
    <row r="29" spans="1:4" x14ac:dyDescent="0.3">
      <c r="A29" s="10" t="s">
        <v>61</v>
      </c>
      <c r="B29" s="8">
        <f>B16*Premissas!$B$30</f>
        <v>75000</v>
      </c>
      <c r="C29" s="8">
        <f>C16*Premissas!$B$30</f>
        <v>50000</v>
      </c>
      <c r="D29" s="8">
        <f>D16*Premissas!$B$30</f>
        <v>37500</v>
      </c>
    </row>
    <row r="30" spans="1:4" x14ac:dyDescent="0.3">
      <c r="A30" s="7" t="s">
        <v>89</v>
      </c>
      <c r="B30" s="9">
        <f>B24+B25+B26+B27+B28+B29</f>
        <v>289670</v>
      </c>
      <c r="C30" s="9">
        <f>C24+C25+C26+C27+C28+C29</f>
        <v>189300</v>
      </c>
      <c r="D30" s="9">
        <f>D24+D25+D26+D27+D28+D29</f>
        <v>140475</v>
      </c>
    </row>
    <row r="32" spans="1:4" x14ac:dyDescent="0.3">
      <c r="A32" s="11" t="s">
        <v>90</v>
      </c>
      <c r="B32" s="12"/>
      <c r="C32" s="12"/>
      <c r="D32" s="12"/>
    </row>
    <row r="33" spans="1:4" x14ac:dyDescent="0.3">
      <c r="A33" s="7" t="s">
        <v>91</v>
      </c>
      <c r="B33" s="9">
        <f>B30*4*B10</f>
        <v>2317360</v>
      </c>
      <c r="C33" s="9">
        <f>C30*4*C10</f>
        <v>2271600</v>
      </c>
      <c r="D33" s="9">
        <f>D30*4*D10</f>
        <v>2247600</v>
      </c>
    </row>
    <row r="34" spans="1:4" x14ac:dyDescent="0.3">
      <c r="A34" s="10" t="s">
        <v>92</v>
      </c>
      <c r="B34" s="13">
        <f>IF(B11&gt;0,B33/B11,0)</f>
        <v>0.19311333333333333</v>
      </c>
      <c r="C34" s="13">
        <f>IF(C11&gt;0,C33/C11,0)</f>
        <v>0.1893</v>
      </c>
      <c r="D34" s="13">
        <f>IF(D11&gt;0,D33/D11,0)</f>
        <v>0.18729999999999999</v>
      </c>
    </row>
    <row r="36" spans="1:4" x14ac:dyDescent="0.3">
      <c r="A36" s="11" t="s">
        <v>93</v>
      </c>
      <c r="B36" s="12"/>
      <c r="C36" s="12"/>
      <c r="D36" s="12"/>
    </row>
    <row r="37" spans="1:4" x14ac:dyDescent="0.3">
      <c r="A37" s="10" t="s">
        <v>94</v>
      </c>
      <c r="B37" s="8">
        <f>B9*Premissas!$B$40</f>
        <v>0</v>
      </c>
      <c r="C37" s="8">
        <f>C9*Premissas!$B$40</f>
        <v>38540</v>
      </c>
      <c r="D37" s="8">
        <f>D9*Premissas!$B$40</f>
        <v>77080</v>
      </c>
    </row>
    <row r="38" spans="1:4" x14ac:dyDescent="0.3">
      <c r="A38" s="10" t="s">
        <v>95</v>
      </c>
      <c r="B38" s="8">
        <f>B9*Premissas!$B$35</f>
        <v>0</v>
      </c>
      <c r="C38" s="8">
        <f>C9*Premissas!$B$35</f>
        <v>10000</v>
      </c>
      <c r="D38" s="8">
        <f>D9*Premissas!$B$35</f>
        <v>20000</v>
      </c>
    </row>
    <row r="39" spans="1:4" x14ac:dyDescent="0.3">
      <c r="A39" s="10" t="s">
        <v>96</v>
      </c>
      <c r="B39" s="8">
        <f>B9*Premissas!$B$39</f>
        <v>0</v>
      </c>
      <c r="C39" s="8">
        <f>C9*Premissas!$B$39</f>
        <v>2540</v>
      </c>
      <c r="D39" s="8">
        <f>D9*Premissas!$B$39</f>
        <v>5080</v>
      </c>
    </row>
    <row r="40" spans="1:4" x14ac:dyDescent="0.3">
      <c r="A40" s="7" t="s">
        <v>97</v>
      </c>
      <c r="B40" s="9">
        <f>B37+B38+B39</f>
        <v>0</v>
      </c>
      <c r="C40" s="9">
        <f>C37+C38+C39</f>
        <v>51080</v>
      </c>
      <c r="D40" s="9">
        <f>D37+D38+D39</f>
        <v>102160</v>
      </c>
    </row>
    <row r="41" spans="1:4" ht="31.2" x14ac:dyDescent="0.3">
      <c r="A41" s="10" t="s">
        <v>98</v>
      </c>
      <c r="B41" s="8">
        <f>B37+B39</f>
        <v>0</v>
      </c>
      <c r="C41" s="8">
        <f>C37+C39</f>
        <v>41080</v>
      </c>
      <c r="D41" s="8">
        <f>D37+D39</f>
        <v>82160</v>
      </c>
    </row>
    <row r="43" spans="1:4" x14ac:dyDescent="0.3">
      <c r="A43" s="11" t="s">
        <v>99</v>
      </c>
      <c r="B43" s="12"/>
      <c r="C43" s="12"/>
      <c r="D43" s="12"/>
    </row>
    <row r="44" spans="1:4" x14ac:dyDescent="0.3">
      <c r="A44" s="10" t="s">
        <v>100</v>
      </c>
      <c r="B44" s="8">
        <f>'Situação Atual'!G30</f>
        <v>2411120</v>
      </c>
      <c r="C44" s="8">
        <f>'Situação Atual'!G30</f>
        <v>2411120</v>
      </c>
      <c r="D44" s="8">
        <f>'Situação Atual'!G30</f>
        <v>2411120</v>
      </c>
    </row>
    <row r="45" spans="1:4" ht="31.2" x14ac:dyDescent="0.3">
      <c r="A45" s="7" t="s">
        <v>101</v>
      </c>
      <c r="B45" s="9">
        <f>B33+B40+'Situação Atual'!G29</f>
        <v>2389360</v>
      </c>
      <c r="C45" s="9">
        <f>C33+C40+'Situação Atual'!G29</f>
        <v>2394680</v>
      </c>
      <c r="D45" s="9">
        <f>D33+D40+'Situação Atual'!G29</f>
        <v>2421760</v>
      </c>
    </row>
    <row r="46" spans="1:4" x14ac:dyDescent="0.3">
      <c r="A46" s="10" t="s">
        <v>102</v>
      </c>
      <c r="B46" s="8">
        <f>'Situação Atual'!G27-B33</f>
        <v>21760</v>
      </c>
      <c r="C46" s="8">
        <f>'Situação Atual'!G27-C33</f>
        <v>67520</v>
      </c>
      <c r="D46" s="8">
        <f>'Situação Atual'!G27-D33</f>
        <v>91520</v>
      </c>
    </row>
    <row r="47" spans="1:4" x14ac:dyDescent="0.3">
      <c r="A47" s="7" t="s">
        <v>103</v>
      </c>
      <c r="B47" s="9">
        <f>B46-B40</f>
        <v>21760</v>
      </c>
      <c r="C47" s="9">
        <f>C46-C40</f>
        <v>16440</v>
      </c>
      <c r="D47" s="9">
        <f>D46-D40</f>
        <v>-10640</v>
      </c>
    </row>
    <row r="48" spans="1:4" x14ac:dyDescent="0.3">
      <c r="A48" s="7" t="s">
        <v>104</v>
      </c>
      <c r="B48" s="9">
        <f>B46-B41</f>
        <v>21760</v>
      </c>
      <c r="C48" s="9">
        <f>C46-C41</f>
        <v>26440</v>
      </c>
      <c r="D48" s="9">
        <f>D46-D41</f>
        <v>9360</v>
      </c>
    </row>
    <row r="49" spans="1:4" x14ac:dyDescent="0.3">
      <c r="A49" s="10" t="s">
        <v>105</v>
      </c>
      <c r="B49" s="30">
        <f>IF(B48&gt;0,B38/(B48/12),"N/A")</f>
        <v>0</v>
      </c>
      <c r="C49" s="30">
        <f>IF(C48&gt;0,C38/(C48/12),"N/A")</f>
        <v>4.5385779122541603</v>
      </c>
      <c r="D49" s="30">
        <f>IF(D48&gt;0,D38/(D48/12),"N/A")</f>
        <v>25.641025641025642</v>
      </c>
    </row>
    <row r="51" spans="1:4" x14ac:dyDescent="0.3">
      <c r="A51" s="16" t="s">
        <v>68</v>
      </c>
      <c r="B51" s="4"/>
      <c r="C51" s="4"/>
      <c r="D51" s="4"/>
    </row>
    <row r="52" spans="1:4" x14ac:dyDescent="0.3">
      <c r="A52" s="17" t="s">
        <v>106</v>
      </c>
      <c r="B52" s="4"/>
      <c r="C52" s="4"/>
      <c r="D52" s="4"/>
    </row>
    <row r="53" spans="1:4" x14ac:dyDescent="0.3">
      <c r="A53" s="17" t="s">
        <v>107</v>
      </c>
      <c r="B53" s="4"/>
      <c r="C53" s="4"/>
      <c r="D53" s="4"/>
    </row>
  </sheetData>
  <mergeCells count="4">
    <mergeCell ref="A53:D53"/>
    <mergeCell ref="A52:D52"/>
    <mergeCell ref="A3:D3"/>
    <mergeCell ref="A51:D51"/>
  </mergeCells>
  <conditionalFormatting sqref="B47:D48">
    <cfRule type="cellIs" dxfId="3" priority="1" operator="greaterThan">
      <formula>0</formula>
    </cfRule>
    <cfRule type="cellIs" dxfId="2" priority="2" operator="lessThan">
      <formula>0</formula>
    </cfRule>
  </conditionalFormatting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4A7C59"/>
  </sheetPr>
  <dimension ref="A1:F34"/>
  <sheetViews>
    <sheetView showGridLines="0" workbookViewId="0">
      <selection activeCell="E12" sqref="E12"/>
    </sheetView>
  </sheetViews>
  <sheetFormatPr defaultRowHeight="15.6" x14ac:dyDescent="0.3"/>
  <cols>
    <col min="1" max="1" width="22" style="5" customWidth="1"/>
    <col min="2" max="6" width="20" style="5" customWidth="1"/>
    <col min="7" max="16384" width="8.88671875" style="5"/>
  </cols>
  <sheetData>
    <row r="1" spans="1:6" ht="60" customHeight="1" x14ac:dyDescent="0.3"/>
    <row r="2" spans="1:6" ht="6" customHeight="1" x14ac:dyDescent="0.3">
      <c r="A2" s="19"/>
      <c r="B2" s="19"/>
      <c r="C2" s="19"/>
      <c r="D2" s="19"/>
      <c r="E2" s="19"/>
      <c r="F2" s="19"/>
    </row>
    <row r="3" spans="1:6" ht="30" customHeight="1" x14ac:dyDescent="0.3">
      <c r="A3" s="3" t="s">
        <v>108</v>
      </c>
      <c r="B3" s="4"/>
      <c r="C3" s="4"/>
      <c r="D3" s="4"/>
      <c r="E3" s="4"/>
      <c r="F3" s="4"/>
    </row>
    <row r="4" spans="1:6" x14ac:dyDescent="0.3">
      <c r="A4" s="31" t="s">
        <v>109</v>
      </c>
      <c r="B4" s="4"/>
      <c r="C4" s="4"/>
      <c r="D4" s="4"/>
      <c r="E4" s="4"/>
      <c r="F4" s="4"/>
    </row>
    <row r="6" spans="1:6" ht="34.950000000000003" customHeight="1" x14ac:dyDescent="0.3">
      <c r="A6" s="6" t="s">
        <v>110</v>
      </c>
      <c r="B6" s="6" t="s">
        <v>111</v>
      </c>
      <c r="C6" s="6" t="s">
        <v>112</v>
      </c>
      <c r="D6" s="6" t="s">
        <v>113</v>
      </c>
      <c r="E6" s="6" t="s">
        <v>114</v>
      </c>
      <c r="F6" s="6" t="s">
        <v>115</v>
      </c>
    </row>
    <row r="7" spans="1:6" x14ac:dyDescent="0.3">
      <c r="A7" s="32">
        <v>5000000</v>
      </c>
      <c r="B7" s="33">
        <f>(((MIN(($A7/1/4),Premissas!$B$23)*Premissas!$B$19+MAX(($A7/1/4)-Premissas!$B$23,0)*Premissas!$B$21)*Premissas!$B$24+MAX((MIN(($A7/1/4),Premissas!$B$23)*Premissas!$B$19+MAX(($A7/1/4)-Premissas!$B$23,0)*Premissas!$B$21)-Premissas!$B$26,0)*Premissas!$B$25)+((MIN(($A7/1/4),Premissas!$B$23)*Premissas!$B$19+MAX(($A7/1/4)-Premissas!$B$23,0)*Premissas!$B$21)*Premissas!$B$27)+(($A7/1/4)*(Premissas!$B$28+Premissas!$B$29+Premissas!$B$30)))*4*1</f>
        <v>952500</v>
      </c>
      <c r="C7" s="34">
        <f>$B7-((((MIN(($A7/2/4),Premissas!$B$23)*Premissas!$B$19+MAX(($A7/2/4)-Premissas!$B$23,0)*Premissas!$B$21)*Premissas!$B$24+MAX((MIN(($A7/2/4),Premissas!$B$23)*Premissas!$B$19+MAX(($A7/2/4)-Premissas!$B$23,0)*Premissas!$B$21)-Premissas!$B$26,0)*Premissas!$B$25)+((MIN(($A7/2/4),Premissas!$B$23)*Premissas!$B$19+MAX(($A7/2/4)-Premissas!$B$23,0)*Premissas!$B$21)*Premissas!$B$27)+(($A7/2/4)*(Premissas!$B$28+Premissas!$B$29+Premissas!$B$30)))*4*2)-((2-1)*Premissas!$B$40)</f>
        <v>-14540</v>
      </c>
      <c r="D7" s="34">
        <f>$B7-((((MIN(($A7/3/4),Premissas!$B$23)*Premissas!$B$19+MAX(($A7/3/4)-Premissas!$B$23,0)*Premissas!$B$21)*Premissas!$B$24+MAX((MIN(($A7/3/4),Premissas!$B$23)*Premissas!$B$19+MAX(($A7/3/4)-Premissas!$B$23,0)*Premissas!$B$21)-Premissas!$B$26,0)*Premissas!$B$25)+((MIN(($A7/3/4),Premissas!$B$23)*Premissas!$B$19+MAX(($A7/3/4)-Premissas!$B$23,0)*Premissas!$B$21)*Premissas!$B$27)+(($A7/3/4)*(Premissas!$B$28+Premissas!$B$29+Premissas!$B$30)))*4*3)-((3-1)*Premissas!$B$40)</f>
        <v>-29080</v>
      </c>
      <c r="E7" s="34">
        <f>$B7-((((MIN(($A7/4/4),Premissas!$B$23)*Premissas!$B$19+MAX(($A7/4/4)-Premissas!$B$23,0)*Premissas!$B$21)*Premissas!$B$24+MAX((MIN(($A7/4/4),Premissas!$B$23)*Premissas!$B$19+MAX(($A7/4/4)-Premissas!$B$23,0)*Premissas!$B$21)-Premissas!$B$26,0)*Premissas!$B$25)+((MIN(($A7/4/4),Premissas!$B$23)*Premissas!$B$19+MAX(($A7/4/4)-Premissas!$B$23,0)*Premissas!$B$21)*Premissas!$B$27)+(($A7/4/4)*(Premissas!$B$28+Premissas!$B$29+Premissas!$B$30)))*4*4)-((4-1)*Premissas!$B$40)</f>
        <v>-43620</v>
      </c>
      <c r="F7" s="34">
        <f>$B7-((((MIN(($A7/5/4),Premissas!$B$23)*Premissas!$B$19+MAX(($A7/5/4)-Premissas!$B$23,0)*Premissas!$B$21)*Premissas!$B$24+MAX((MIN(($A7/5/4),Premissas!$B$23)*Premissas!$B$19+MAX(($A7/5/4)-Premissas!$B$23,0)*Premissas!$B$21)-Premissas!$B$26,0)*Premissas!$B$25)+((MIN(($A7/5/4),Premissas!$B$23)*Premissas!$B$19+MAX(($A7/5/4)-Premissas!$B$23,0)*Premissas!$B$21)*Premissas!$B$27)+(($A7/5/4)*(Premissas!$B$28+Premissas!$B$29+Premissas!$B$30)))*4*5)-((5-1)*Premissas!$B$40)</f>
        <v>-58160</v>
      </c>
    </row>
    <row r="8" spans="1:6" x14ac:dyDescent="0.3">
      <c r="A8" s="32">
        <v>7500000</v>
      </c>
      <c r="B8" s="33">
        <f>(((MIN(($A8/1/4),Premissas!$B$23)*Premissas!$B$19+MAX(($A8/1/4)-Premissas!$B$23,0)*Premissas!$B$21)*Premissas!$B$24+MAX((MIN(($A8/1/4),Premissas!$B$23)*Premissas!$B$19+MAX(($A8/1/4)-Premissas!$B$23,0)*Premissas!$B$21)-Premissas!$B$26,0)*Premissas!$B$25)+((MIN(($A8/1/4),Premissas!$B$23)*Premissas!$B$19+MAX(($A8/1/4)-Premissas!$B$23,0)*Premissas!$B$21)*Premissas!$B$27)+(($A8/1/4)*(Premissas!$B$28+Premissas!$B$29+Premissas!$B$30)))*4*1</f>
        <v>1467950</v>
      </c>
      <c r="C8" s="34">
        <f>$B8-((((MIN(($A8/2/4),Premissas!$B$23)*Premissas!$B$19+MAX(($A8/2/4)-Premissas!$B$23,0)*Premissas!$B$21)*Premissas!$B$24+MAX((MIN(($A8/2/4),Premissas!$B$23)*Premissas!$B$19+MAX(($A8/2/4)-Premissas!$B$23,0)*Premissas!$B$21)-Premissas!$B$26,0)*Premissas!$B$25)+((MIN(($A8/2/4),Premissas!$B$23)*Premissas!$B$19+MAX(($A8/2/4)-Premissas!$B$23,0)*Premissas!$B$21)*Premissas!$B$27)+(($A8/2/4)*(Premissas!$B$28+Premissas!$B$29+Premissas!$B$30)))*4*2)-((2-1)*Premissas!$B$40)</f>
        <v>12660</v>
      </c>
      <c r="D8" s="34">
        <f>$B8-((((MIN(($A8/3/4),Premissas!$B$23)*Premissas!$B$19+MAX(($A8/3/4)-Premissas!$B$23,0)*Premissas!$B$21)*Premissas!$B$24+MAX((MIN(($A8/3/4),Premissas!$B$23)*Premissas!$B$19+MAX(($A8/3/4)-Premissas!$B$23,0)*Premissas!$B$21)-Premissas!$B$26,0)*Premissas!$B$25)+((MIN(($A8/3/4),Premissas!$B$23)*Premissas!$B$19+MAX(($A8/3/4)-Premissas!$B$23,0)*Premissas!$B$21)*Premissas!$B$27)+(($A8/3/4)*(Premissas!$B$28+Premissas!$B$29+Premissas!$B$30)))*4*3)-((3-1)*Premissas!$B$40)</f>
        <v>-1880</v>
      </c>
      <c r="E8" s="34">
        <f>$B8-((((MIN(($A8/4/4),Premissas!$B$23)*Premissas!$B$19+MAX(($A8/4/4)-Premissas!$B$23,0)*Premissas!$B$21)*Premissas!$B$24+MAX((MIN(($A8/4/4),Premissas!$B$23)*Premissas!$B$19+MAX(($A8/4/4)-Premissas!$B$23,0)*Premissas!$B$21)-Premissas!$B$26,0)*Premissas!$B$25)+((MIN(($A8/4/4),Premissas!$B$23)*Premissas!$B$19+MAX(($A8/4/4)-Premissas!$B$23,0)*Premissas!$B$21)*Premissas!$B$27)+(($A8/4/4)*(Premissas!$B$28+Premissas!$B$29+Premissas!$B$30)))*4*4)-((4-1)*Premissas!$B$40)</f>
        <v>-16420</v>
      </c>
      <c r="F8" s="34">
        <f>$B8-((((MIN(($A8/5/4),Premissas!$B$23)*Premissas!$B$19+MAX(($A8/5/4)-Premissas!$B$23,0)*Premissas!$B$21)*Premissas!$B$24+MAX((MIN(($A8/5/4),Premissas!$B$23)*Premissas!$B$19+MAX(($A8/5/4)-Premissas!$B$23,0)*Premissas!$B$21)-Premissas!$B$26,0)*Premissas!$B$25)+((MIN(($A8/5/4),Premissas!$B$23)*Premissas!$B$19+MAX(($A8/5/4)-Premissas!$B$23,0)*Premissas!$B$21)*Premissas!$B$27)+(($A8/5/4)*(Premissas!$B$28+Premissas!$B$29+Premissas!$B$30)))*4*5)-((5-1)*Premissas!$B$40)</f>
        <v>-30960</v>
      </c>
    </row>
    <row r="9" spans="1:6" x14ac:dyDescent="0.3">
      <c r="A9" s="32">
        <v>10000000</v>
      </c>
      <c r="B9" s="33">
        <f>(((MIN(($A9/1/4),Premissas!$B$23)*Premissas!$B$19+MAX(($A9/1/4)-Premissas!$B$23,0)*Premissas!$B$21)*Premissas!$B$24+MAX((MIN(($A9/1/4),Premissas!$B$23)*Premissas!$B$19+MAX(($A9/1/4)-Premissas!$B$23,0)*Premissas!$B$21)-Premissas!$B$26,0)*Premissas!$B$25)+((MIN(($A9/1/4),Premissas!$B$23)*Premissas!$B$19+MAX(($A9/1/4)-Premissas!$B$23,0)*Premissas!$B$21)*Premissas!$B$27)+(($A9/1/4)*(Premissas!$B$28+Premissas!$B$29+Premissas!$B$30)))*4*1</f>
        <v>1983400</v>
      </c>
      <c r="C9" s="34">
        <f>$B9-((((MIN(($A9/2/4),Premissas!$B$23)*Premissas!$B$19+MAX(($A9/2/4)-Premissas!$B$23,0)*Premissas!$B$21)*Premissas!$B$24+MAX((MIN(($A9/2/4),Premissas!$B$23)*Premissas!$B$19+MAX(($A9/2/4)-Premissas!$B$23,0)*Premissas!$B$21)-Premissas!$B$26,0)*Premissas!$B$25)+((MIN(($A9/2/4),Premissas!$B$23)*Premissas!$B$19+MAX(($A9/2/4)-Premissas!$B$23,0)*Premissas!$B$21)*Premissas!$B$27)+(($A9/2/4)*(Premissas!$B$28+Premissas!$B$29+Premissas!$B$30)))*4*2)-((2-1)*Premissas!$B$40)</f>
        <v>39860</v>
      </c>
      <c r="D9" s="34">
        <f>$B9-((((MIN(($A9/3/4),Premissas!$B$23)*Premissas!$B$19+MAX(($A9/3/4)-Premissas!$B$23,0)*Premissas!$B$21)*Premissas!$B$24+MAX((MIN(($A9/3/4),Premissas!$B$23)*Premissas!$B$19+MAX(($A9/3/4)-Premissas!$B$23,0)*Premissas!$B$21)-Premissas!$B$26,0)*Premissas!$B$25)+((MIN(($A9/3/4),Premissas!$B$23)*Premissas!$B$19+MAX(($A9/3/4)-Premissas!$B$23,0)*Premissas!$B$21)*Premissas!$B$27)+(($A9/3/4)*(Premissas!$B$28+Premissas!$B$29+Premissas!$B$30)))*4*3)-((3-1)*Premissas!$B$40)</f>
        <v>25320</v>
      </c>
      <c r="E9" s="34">
        <f>$B9-((((MIN(($A9/4/4),Premissas!$B$23)*Premissas!$B$19+MAX(($A9/4/4)-Premissas!$B$23,0)*Premissas!$B$21)*Premissas!$B$24+MAX((MIN(($A9/4/4),Premissas!$B$23)*Premissas!$B$19+MAX(($A9/4/4)-Premissas!$B$23,0)*Premissas!$B$21)-Premissas!$B$26,0)*Premissas!$B$25)+((MIN(($A9/4/4),Premissas!$B$23)*Premissas!$B$19+MAX(($A9/4/4)-Premissas!$B$23,0)*Premissas!$B$21)*Premissas!$B$27)+(($A9/4/4)*(Premissas!$B$28+Premissas!$B$29+Premissas!$B$30)))*4*4)-((4-1)*Premissas!$B$40)</f>
        <v>10780</v>
      </c>
      <c r="F9" s="34">
        <f>$B9-((((MIN(($A9/5/4),Premissas!$B$23)*Premissas!$B$19+MAX(($A9/5/4)-Premissas!$B$23,0)*Premissas!$B$21)*Premissas!$B$24+MAX((MIN(($A9/5/4),Premissas!$B$23)*Premissas!$B$19+MAX(($A9/5/4)-Premissas!$B$23,0)*Premissas!$B$21)-Premissas!$B$26,0)*Premissas!$B$25)+((MIN(($A9/5/4),Premissas!$B$23)*Premissas!$B$19+MAX(($A9/5/4)-Premissas!$B$23,0)*Premissas!$B$21)*Premissas!$B$27)+(($A9/5/4)*(Premissas!$B$28+Premissas!$B$29+Premissas!$B$30)))*4*5)-((5-1)*Premissas!$B$40)</f>
        <v>-3760</v>
      </c>
    </row>
    <row r="10" spans="1:6" x14ac:dyDescent="0.3">
      <c r="A10" s="32">
        <v>12500000</v>
      </c>
      <c r="B10" s="33">
        <f>(((MIN(($A10/1/4),Premissas!$B$23)*Premissas!$B$19+MAX(($A10/1/4)-Premissas!$B$23,0)*Premissas!$B$21)*Premissas!$B$24+MAX((MIN(($A10/1/4),Premissas!$B$23)*Premissas!$B$19+MAX(($A10/1/4)-Premissas!$B$23,0)*Premissas!$B$21)-Premissas!$B$26,0)*Premissas!$B$25)+((MIN(($A10/1/4),Premissas!$B$23)*Premissas!$B$19+MAX(($A10/1/4)-Premissas!$B$23,0)*Premissas!$B$21)*Premissas!$B$27)+(($A10/1/4)*(Premissas!$B$28+Premissas!$B$29+Premissas!$B$30)))*4*1</f>
        <v>2498850</v>
      </c>
      <c r="C10" s="34">
        <f>$B10-((((MIN(($A10/2/4),Premissas!$B$23)*Premissas!$B$19+MAX(($A10/2/4)-Premissas!$B$23,0)*Premissas!$B$21)*Premissas!$B$24+MAX((MIN(($A10/2/4),Premissas!$B$23)*Premissas!$B$19+MAX(($A10/2/4)-Premissas!$B$23,0)*Premissas!$B$21)-Premissas!$B$26,0)*Premissas!$B$25)+((MIN(($A10/2/4),Premissas!$B$23)*Premissas!$B$19+MAX(($A10/2/4)-Premissas!$B$23,0)*Premissas!$B$21)*Premissas!$B$27)+(($A10/2/4)*(Premissas!$B$28+Premissas!$B$29+Premissas!$B$30)))*4*2)-((2-1)*Premissas!$B$40)</f>
        <v>39860</v>
      </c>
      <c r="D10" s="34">
        <f>$B10-((((MIN(($A10/3/4),Premissas!$B$23)*Premissas!$B$19+MAX(($A10/3/4)-Premissas!$B$23,0)*Premissas!$B$21)*Premissas!$B$24+MAX((MIN(($A10/3/4),Premissas!$B$23)*Premissas!$B$19+MAX(($A10/3/4)-Premissas!$B$23,0)*Premissas!$B$21)-Premissas!$B$26,0)*Premissas!$B$25)+((MIN(($A10/3/4),Premissas!$B$23)*Premissas!$B$19+MAX(($A10/3/4)-Premissas!$B$23,0)*Premissas!$B$21)*Premissas!$B$27)+(($A10/3/4)*(Premissas!$B$28+Premissas!$B$29+Premissas!$B$30)))*4*3)-((3-1)*Premissas!$B$40)</f>
        <v>52520</v>
      </c>
      <c r="E10" s="34">
        <f>$B10-((((MIN(($A10/4/4),Premissas!$B$23)*Premissas!$B$19+MAX(($A10/4/4)-Premissas!$B$23,0)*Premissas!$B$21)*Premissas!$B$24+MAX((MIN(($A10/4/4),Premissas!$B$23)*Premissas!$B$19+MAX(($A10/4/4)-Premissas!$B$23,0)*Premissas!$B$21)-Premissas!$B$26,0)*Premissas!$B$25)+((MIN(($A10/4/4),Premissas!$B$23)*Premissas!$B$19+MAX(($A10/4/4)-Premissas!$B$23,0)*Premissas!$B$21)*Premissas!$B$27)+(($A10/4/4)*(Premissas!$B$28+Premissas!$B$29+Premissas!$B$30)))*4*4)-((4-1)*Premissas!$B$40)</f>
        <v>37980</v>
      </c>
      <c r="F10" s="34">
        <f>$B10-((((MIN(($A10/5/4),Premissas!$B$23)*Premissas!$B$19+MAX(($A10/5/4)-Premissas!$B$23,0)*Premissas!$B$21)*Premissas!$B$24+MAX((MIN(($A10/5/4),Premissas!$B$23)*Premissas!$B$19+MAX(($A10/5/4)-Premissas!$B$23,0)*Premissas!$B$21)-Premissas!$B$26,0)*Premissas!$B$25)+((MIN(($A10/5/4),Premissas!$B$23)*Premissas!$B$19+MAX(($A10/5/4)-Premissas!$B$23,0)*Premissas!$B$21)*Premissas!$B$27)+(($A10/5/4)*(Premissas!$B$28+Premissas!$B$29+Premissas!$B$30)))*4*5)-((5-1)*Premissas!$B$40)</f>
        <v>23440</v>
      </c>
    </row>
    <row r="11" spans="1:6" x14ac:dyDescent="0.3">
      <c r="A11" s="32">
        <v>15000000</v>
      </c>
      <c r="B11" s="33">
        <f>(((MIN(($A11/1/4),Premissas!$B$23)*Premissas!$B$19+MAX(($A11/1/4)-Premissas!$B$23,0)*Premissas!$B$21)*Premissas!$B$24+MAX((MIN(($A11/1/4),Premissas!$B$23)*Premissas!$B$19+MAX(($A11/1/4)-Premissas!$B$23,0)*Premissas!$B$21)-Premissas!$B$26,0)*Premissas!$B$25)+((MIN(($A11/1/4),Premissas!$B$23)*Premissas!$B$19+MAX(($A11/1/4)-Premissas!$B$23,0)*Premissas!$B$21)*Premissas!$B$27)+(($A11/1/4)*(Premissas!$B$28+Premissas!$B$29+Premissas!$B$30)))*4*1</f>
        <v>3014300</v>
      </c>
      <c r="C11" s="34">
        <f>$B11-((((MIN(($A11/2/4),Premissas!$B$23)*Premissas!$B$19+MAX(($A11/2/4)-Premissas!$B$23,0)*Premissas!$B$21)*Premissas!$B$24+MAX((MIN(($A11/2/4),Premissas!$B$23)*Premissas!$B$19+MAX(($A11/2/4)-Premissas!$B$23,0)*Premissas!$B$21)-Premissas!$B$26,0)*Premissas!$B$25)+((MIN(($A11/2/4),Premissas!$B$23)*Premissas!$B$19+MAX(($A11/2/4)-Premissas!$B$23,0)*Premissas!$B$21)*Premissas!$B$27)+(($A11/2/4)*(Premissas!$B$28+Premissas!$B$29+Premissas!$B$30)))*4*2)-((2-1)*Premissas!$B$40)</f>
        <v>39860</v>
      </c>
      <c r="D11" s="34">
        <f>$B11-((((MIN(($A11/3/4),Premissas!$B$23)*Premissas!$B$19+MAX(($A11/3/4)-Premissas!$B$23,0)*Premissas!$B$21)*Premissas!$B$24+MAX((MIN(($A11/3/4),Premissas!$B$23)*Premissas!$B$19+MAX(($A11/3/4)-Premissas!$B$23,0)*Premissas!$B$21)-Premissas!$B$26,0)*Premissas!$B$25)+((MIN(($A11/3/4),Premissas!$B$23)*Premissas!$B$19+MAX(($A11/3/4)-Premissas!$B$23,0)*Premissas!$B$21)*Premissas!$B$27)+(($A11/3/4)*(Premissas!$B$28+Premissas!$B$29+Premissas!$B$30)))*4*3)-((3-1)*Premissas!$B$40)</f>
        <v>79720</v>
      </c>
      <c r="E11" s="34">
        <f>$B11-((((MIN(($A11/4/4),Premissas!$B$23)*Premissas!$B$19+MAX(($A11/4/4)-Premissas!$B$23,0)*Premissas!$B$21)*Premissas!$B$24+MAX((MIN(($A11/4/4),Premissas!$B$23)*Premissas!$B$19+MAX(($A11/4/4)-Premissas!$B$23,0)*Premissas!$B$21)-Premissas!$B$26,0)*Premissas!$B$25)+((MIN(($A11/4/4),Premissas!$B$23)*Premissas!$B$19+MAX(($A11/4/4)-Premissas!$B$23,0)*Premissas!$B$21)*Premissas!$B$27)+(($A11/4/4)*(Premissas!$B$28+Premissas!$B$29+Premissas!$B$30)))*4*4)-((4-1)*Premissas!$B$40)</f>
        <v>65180</v>
      </c>
      <c r="F11" s="34">
        <f>$B11-((((MIN(($A11/5/4),Premissas!$B$23)*Premissas!$B$19+MAX(($A11/5/4)-Premissas!$B$23,0)*Premissas!$B$21)*Premissas!$B$24+MAX((MIN(($A11/5/4),Premissas!$B$23)*Premissas!$B$19+MAX(($A11/5/4)-Premissas!$B$23,0)*Premissas!$B$21)-Premissas!$B$26,0)*Premissas!$B$25)+((MIN(($A11/5/4),Premissas!$B$23)*Premissas!$B$19+MAX(($A11/5/4)-Premissas!$B$23,0)*Premissas!$B$21)*Premissas!$B$27)+(($A11/5/4)*(Premissas!$B$28+Premissas!$B$29+Premissas!$B$30)))*4*5)-((5-1)*Premissas!$B$40)</f>
        <v>50640</v>
      </c>
    </row>
    <row r="12" spans="1:6" x14ac:dyDescent="0.3">
      <c r="A12" s="32">
        <v>17500000</v>
      </c>
      <c r="B12" s="33">
        <f>(((MIN(($A12/1/4),Premissas!$B$23)*Premissas!$B$19+MAX(($A12/1/4)-Premissas!$B$23,0)*Premissas!$B$21)*Premissas!$B$24+MAX((MIN(($A12/1/4),Premissas!$B$23)*Premissas!$B$19+MAX(($A12/1/4)-Premissas!$B$23,0)*Premissas!$B$21)-Premissas!$B$26,0)*Premissas!$B$25)+((MIN(($A12/1/4),Premissas!$B$23)*Premissas!$B$19+MAX(($A12/1/4)-Premissas!$B$23,0)*Premissas!$B$21)*Premissas!$B$27)+(($A12/1/4)*(Premissas!$B$28+Premissas!$B$29+Premissas!$B$30)))*4*1</f>
        <v>3529750</v>
      </c>
      <c r="C12" s="34">
        <f>$B12-((((MIN(($A12/2/4),Premissas!$B$23)*Premissas!$B$19+MAX(($A12/2/4)-Premissas!$B$23,0)*Premissas!$B$21)*Premissas!$B$24+MAX((MIN(($A12/2/4),Premissas!$B$23)*Premissas!$B$19+MAX(($A12/2/4)-Premissas!$B$23,0)*Premissas!$B$21)-Premissas!$B$26,0)*Premissas!$B$25)+((MIN(($A12/2/4),Premissas!$B$23)*Premissas!$B$19+MAX(($A12/2/4)-Premissas!$B$23,0)*Premissas!$B$21)*Premissas!$B$27)+(($A12/2/4)*(Premissas!$B$28+Premissas!$B$29+Premissas!$B$30)))*4*2)-((2-1)*Premissas!$B$40)</f>
        <v>39860</v>
      </c>
      <c r="D12" s="34">
        <f>$B12-((((MIN(($A12/3/4),Premissas!$B$23)*Premissas!$B$19+MAX(($A12/3/4)-Premissas!$B$23,0)*Premissas!$B$21)*Premissas!$B$24+MAX((MIN(($A12/3/4),Premissas!$B$23)*Premissas!$B$19+MAX(($A12/3/4)-Premissas!$B$23,0)*Premissas!$B$21)-Premissas!$B$26,0)*Premissas!$B$25)+((MIN(($A12/3/4),Premissas!$B$23)*Premissas!$B$19+MAX(($A12/3/4)-Premissas!$B$23,0)*Premissas!$B$21)*Premissas!$B$27)+(($A12/3/4)*(Premissas!$B$28+Premissas!$B$29+Premissas!$B$30)))*4*3)-((3-1)*Premissas!$B$40)</f>
        <v>79720.000000000466</v>
      </c>
      <c r="E12" s="34">
        <f>$B12-((((MIN(($A12/4/4),Premissas!$B$23)*Premissas!$B$19+MAX(($A12/4/4)-Premissas!$B$23,0)*Premissas!$B$21)*Premissas!$B$24+MAX((MIN(($A12/4/4),Premissas!$B$23)*Premissas!$B$19+MAX(($A12/4/4)-Premissas!$B$23,0)*Premissas!$B$21)-Premissas!$B$26,0)*Premissas!$B$25)+((MIN(($A12/4/4),Premissas!$B$23)*Premissas!$B$19+MAX(($A12/4/4)-Premissas!$B$23,0)*Premissas!$B$21)*Premissas!$B$27)+(($A12/4/4)*(Premissas!$B$28+Premissas!$B$29+Premissas!$B$30)))*4*4)-((4-1)*Premissas!$B$40)</f>
        <v>92380</v>
      </c>
      <c r="F12" s="34">
        <f>$B12-((((MIN(($A12/5/4),Premissas!$B$23)*Premissas!$B$19+MAX(($A12/5/4)-Premissas!$B$23,0)*Premissas!$B$21)*Premissas!$B$24+MAX((MIN(($A12/5/4),Premissas!$B$23)*Premissas!$B$19+MAX(($A12/5/4)-Premissas!$B$23,0)*Premissas!$B$21)-Premissas!$B$26,0)*Premissas!$B$25)+((MIN(($A12/5/4),Premissas!$B$23)*Premissas!$B$19+MAX(($A12/5/4)-Premissas!$B$23,0)*Premissas!$B$21)*Premissas!$B$27)+(($A12/5/4)*(Premissas!$B$28+Premissas!$B$29+Premissas!$B$30)))*4*5)-((5-1)*Premissas!$B$40)</f>
        <v>77840</v>
      </c>
    </row>
    <row r="13" spans="1:6" x14ac:dyDescent="0.3">
      <c r="A13" s="32">
        <v>20000000</v>
      </c>
      <c r="B13" s="33">
        <f>(((MIN(($A13/1/4),Premissas!$B$23)*Premissas!$B$19+MAX(($A13/1/4)-Premissas!$B$23,0)*Premissas!$B$21)*Premissas!$B$24+MAX((MIN(($A13/1/4),Premissas!$B$23)*Premissas!$B$19+MAX(($A13/1/4)-Premissas!$B$23,0)*Premissas!$B$21)-Premissas!$B$26,0)*Premissas!$B$25)+((MIN(($A13/1/4),Premissas!$B$23)*Premissas!$B$19+MAX(($A13/1/4)-Premissas!$B$23,0)*Premissas!$B$21)*Premissas!$B$27)+(($A13/1/4)*(Premissas!$B$28+Premissas!$B$29+Premissas!$B$30)))*4*1</f>
        <v>4045200</v>
      </c>
      <c r="C13" s="34">
        <f>$B13-((((MIN(($A13/2/4),Premissas!$B$23)*Premissas!$B$19+MAX(($A13/2/4)-Premissas!$B$23,0)*Premissas!$B$21)*Premissas!$B$24+MAX((MIN(($A13/2/4),Premissas!$B$23)*Premissas!$B$19+MAX(($A13/2/4)-Premissas!$B$23,0)*Premissas!$B$21)-Premissas!$B$26,0)*Premissas!$B$25)+((MIN(($A13/2/4),Premissas!$B$23)*Premissas!$B$19+MAX(($A13/2/4)-Premissas!$B$23,0)*Premissas!$B$21)*Premissas!$B$27)+(($A13/2/4)*(Premissas!$B$28+Premissas!$B$29+Premissas!$B$30)))*4*2)-((2-1)*Premissas!$B$40)</f>
        <v>39860</v>
      </c>
      <c r="D13" s="34">
        <f>$B13-((((MIN(($A13/3/4),Premissas!$B$23)*Premissas!$B$19+MAX(($A13/3/4)-Premissas!$B$23,0)*Premissas!$B$21)*Premissas!$B$24+MAX((MIN(($A13/3/4),Premissas!$B$23)*Premissas!$B$19+MAX(($A13/3/4)-Premissas!$B$23,0)*Premissas!$B$21)-Premissas!$B$26,0)*Premissas!$B$25)+((MIN(($A13/3/4),Premissas!$B$23)*Premissas!$B$19+MAX(($A13/3/4)-Premissas!$B$23,0)*Premissas!$B$21)*Premissas!$B$27)+(($A13/3/4)*(Premissas!$B$28+Premissas!$B$29+Premissas!$B$30)))*4*3)-((3-1)*Premissas!$B$40)</f>
        <v>79719.999999999534</v>
      </c>
      <c r="E13" s="34">
        <f>$B13-((((MIN(($A13/4/4),Premissas!$B$23)*Premissas!$B$19+MAX(($A13/4/4)-Premissas!$B$23,0)*Premissas!$B$21)*Premissas!$B$24+MAX((MIN(($A13/4/4),Premissas!$B$23)*Premissas!$B$19+MAX(($A13/4/4)-Premissas!$B$23,0)*Premissas!$B$21)-Premissas!$B$26,0)*Premissas!$B$25)+((MIN(($A13/4/4),Premissas!$B$23)*Premissas!$B$19+MAX(($A13/4/4)-Premissas!$B$23,0)*Premissas!$B$21)*Premissas!$B$27)+(($A13/4/4)*(Premissas!$B$28+Premissas!$B$29+Premissas!$B$30)))*4*4)-((4-1)*Premissas!$B$40)</f>
        <v>119580</v>
      </c>
      <c r="F13" s="34">
        <f>$B13-((((MIN(($A13/5/4),Premissas!$B$23)*Premissas!$B$19+MAX(($A13/5/4)-Premissas!$B$23,0)*Premissas!$B$21)*Premissas!$B$24+MAX((MIN(($A13/5/4),Premissas!$B$23)*Premissas!$B$19+MAX(($A13/5/4)-Premissas!$B$23,0)*Premissas!$B$21)-Premissas!$B$26,0)*Premissas!$B$25)+((MIN(($A13/5/4),Premissas!$B$23)*Premissas!$B$19+MAX(($A13/5/4)-Premissas!$B$23,0)*Premissas!$B$21)*Premissas!$B$27)+(($A13/5/4)*(Premissas!$B$28+Premissas!$B$29+Premissas!$B$30)))*4*5)-((5-1)*Premissas!$B$40)</f>
        <v>105040</v>
      </c>
    </row>
    <row r="14" spans="1:6" x14ac:dyDescent="0.3">
      <c r="A14" s="32">
        <v>22500000</v>
      </c>
      <c r="B14" s="33">
        <f>(((MIN(($A14/1/4),Premissas!$B$23)*Premissas!$B$19+MAX(($A14/1/4)-Premissas!$B$23,0)*Premissas!$B$21)*Premissas!$B$24+MAX((MIN(($A14/1/4),Premissas!$B$23)*Premissas!$B$19+MAX(($A14/1/4)-Premissas!$B$23,0)*Premissas!$B$21)-Premissas!$B$26,0)*Premissas!$B$25)+((MIN(($A14/1/4),Premissas!$B$23)*Premissas!$B$19+MAX(($A14/1/4)-Premissas!$B$23,0)*Premissas!$B$21)*Premissas!$B$27)+(($A14/1/4)*(Premissas!$B$28+Premissas!$B$29+Premissas!$B$30)))*4*1</f>
        <v>4560650</v>
      </c>
      <c r="C14" s="34">
        <f>$B14-((((MIN(($A14/2/4),Premissas!$B$23)*Premissas!$B$19+MAX(($A14/2/4)-Premissas!$B$23,0)*Premissas!$B$21)*Premissas!$B$24+MAX((MIN(($A14/2/4),Premissas!$B$23)*Premissas!$B$19+MAX(($A14/2/4)-Premissas!$B$23,0)*Premissas!$B$21)-Premissas!$B$26,0)*Premissas!$B$25)+((MIN(($A14/2/4),Premissas!$B$23)*Premissas!$B$19+MAX(($A14/2/4)-Premissas!$B$23,0)*Premissas!$B$21)*Premissas!$B$27)+(($A14/2/4)*(Premissas!$B$28+Premissas!$B$29+Premissas!$B$30)))*4*2)-((2-1)*Premissas!$B$40)</f>
        <v>39860</v>
      </c>
      <c r="D14" s="34">
        <f>$B14-((((MIN(($A14/3/4),Premissas!$B$23)*Premissas!$B$19+MAX(($A14/3/4)-Premissas!$B$23,0)*Premissas!$B$21)*Premissas!$B$24+MAX((MIN(($A14/3/4),Premissas!$B$23)*Premissas!$B$19+MAX(($A14/3/4)-Premissas!$B$23,0)*Premissas!$B$21)-Premissas!$B$26,0)*Premissas!$B$25)+((MIN(($A14/3/4),Premissas!$B$23)*Premissas!$B$19+MAX(($A14/3/4)-Premissas!$B$23,0)*Premissas!$B$21)*Premissas!$B$27)+(($A14/3/4)*(Premissas!$B$28+Premissas!$B$29+Premissas!$B$30)))*4*3)-((3-1)*Premissas!$B$40)</f>
        <v>79720</v>
      </c>
      <c r="E14" s="34">
        <f>$B14-((((MIN(($A14/4/4),Premissas!$B$23)*Premissas!$B$19+MAX(($A14/4/4)-Premissas!$B$23,0)*Premissas!$B$21)*Premissas!$B$24+MAX((MIN(($A14/4/4),Premissas!$B$23)*Premissas!$B$19+MAX(($A14/4/4)-Premissas!$B$23,0)*Premissas!$B$21)-Premissas!$B$26,0)*Premissas!$B$25)+((MIN(($A14/4/4),Premissas!$B$23)*Premissas!$B$19+MAX(($A14/4/4)-Premissas!$B$23,0)*Premissas!$B$21)*Premissas!$B$27)+(($A14/4/4)*(Premissas!$B$28+Premissas!$B$29+Premissas!$B$30)))*4*4)-((4-1)*Premissas!$B$40)</f>
        <v>119580</v>
      </c>
      <c r="F14" s="34">
        <f>$B14-((((MIN(($A14/5/4),Premissas!$B$23)*Premissas!$B$19+MAX(($A14/5/4)-Premissas!$B$23,0)*Premissas!$B$21)*Premissas!$B$24+MAX((MIN(($A14/5/4),Premissas!$B$23)*Premissas!$B$19+MAX(($A14/5/4)-Premissas!$B$23,0)*Premissas!$B$21)-Premissas!$B$26,0)*Premissas!$B$25)+((MIN(($A14/5/4),Premissas!$B$23)*Premissas!$B$19+MAX(($A14/5/4)-Premissas!$B$23,0)*Premissas!$B$21)*Premissas!$B$27)+(($A14/5/4)*(Premissas!$B$28+Premissas!$B$29+Premissas!$B$30)))*4*5)-((5-1)*Premissas!$B$40)</f>
        <v>132240</v>
      </c>
    </row>
    <row r="15" spans="1:6" x14ac:dyDescent="0.3">
      <c r="A15" s="32">
        <v>25000000</v>
      </c>
      <c r="B15" s="33">
        <f>(((MIN(($A15/1/4),Premissas!$B$23)*Premissas!$B$19+MAX(($A15/1/4)-Premissas!$B$23,0)*Premissas!$B$21)*Premissas!$B$24+MAX((MIN(($A15/1/4),Premissas!$B$23)*Premissas!$B$19+MAX(($A15/1/4)-Premissas!$B$23,0)*Premissas!$B$21)-Premissas!$B$26,0)*Premissas!$B$25)+((MIN(($A15/1/4),Premissas!$B$23)*Premissas!$B$19+MAX(($A15/1/4)-Premissas!$B$23,0)*Premissas!$B$21)*Premissas!$B$27)+(($A15/1/4)*(Premissas!$B$28+Premissas!$B$29+Premissas!$B$30)))*4*1</f>
        <v>5076100</v>
      </c>
      <c r="C15" s="34">
        <f>$B15-((((MIN(($A15/2/4),Premissas!$B$23)*Premissas!$B$19+MAX(($A15/2/4)-Premissas!$B$23,0)*Premissas!$B$21)*Premissas!$B$24+MAX((MIN(($A15/2/4),Premissas!$B$23)*Premissas!$B$19+MAX(($A15/2/4)-Premissas!$B$23,0)*Premissas!$B$21)-Premissas!$B$26,0)*Premissas!$B$25)+((MIN(($A15/2/4),Premissas!$B$23)*Premissas!$B$19+MAX(($A15/2/4)-Premissas!$B$23,0)*Premissas!$B$21)*Premissas!$B$27)+(($A15/2/4)*(Premissas!$B$28+Premissas!$B$29+Premissas!$B$30)))*4*2)-((2-1)*Premissas!$B$40)</f>
        <v>39860</v>
      </c>
      <c r="D15" s="34">
        <f>$B15-((((MIN(($A15/3/4),Premissas!$B$23)*Premissas!$B$19+MAX(($A15/3/4)-Premissas!$B$23,0)*Premissas!$B$21)*Premissas!$B$24+MAX((MIN(($A15/3/4),Premissas!$B$23)*Premissas!$B$19+MAX(($A15/3/4)-Premissas!$B$23,0)*Premissas!$B$21)-Premissas!$B$26,0)*Premissas!$B$25)+((MIN(($A15/3/4),Premissas!$B$23)*Premissas!$B$19+MAX(($A15/3/4)-Premissas!$B$23,0)*Premissas!$B$21)*Premissas!$B$27)+(($A15/3/4)*(Premissas!$B$28+Premissas!$B$29+Premissas!$B$30)))*4*3)-((3-1)*Premissas!$B$40)</f>
        <v>79720</v>
      </c>
      <c r="E15" s="34">
        <f>$B15-((((MIN(($A15/4/4),Premissas!$B$23)*Premissas!$B$19+MAX(($A15/4/4)-Premissas!$B$23,0)*Premissas!$B$21)*Premissas!$B$24+MAX((MIN(($A15/4/4),Premissas!$B$23)*Premissas!$B$19+MAX(($A15/4/4)-Premissas!$B$23,0)*Premissas!$B$21)-Premissas!$B$26,0)*Premissas!$B$25)+((MIN(($A15/4/4),Premissas!$B$23)*Premissas!$B$19+MAX(($A15/4/4)-Premissas!$B$23,0)*Premissas!$B$21)*Premissas!$B$27)+(($A15/4/4)*(Premissas!$B$28+Premissas!$B$29+Premissas!$B$30)))*4*4)-((4-1)*Premissas!$B$40)</f>
        <v>119580</v>
      </c>
      <c r="F15" s="34">
        <f>$B15-((((MIN(($A15/5/4),Premissas!$B$23)*Premissas!$B$19+MAX(($A15/5/4)-Premissas!$B$23,0)*Premissas!$B$21)*Premissas!$B$24+MAX((MIN(($A15/5/4),Premissas!$B$23)*Premissas!$B$19+MAX(($A15/5/4)-Premissas!$B$23,0)*Premissas!$B$21)-Premissas!$B$26,0)*Premissas!$B$25)+((MIN(($A15/5/4),Premissas!$B$23)*Premissas!$B$19+MAX(($A15/5/4)-Premissas!$B$23,0)*Premissas!$B$21)*Premissas!$B$27)+(($A15/5/4)*(Premissas!$B$28+Premissas!$B$29+Premissas!$B$30)))*4*5)-((5-1)*Premissas!$B$40)</f>
        <v>159440</v>
      </c>
    </row>
    <row r="16" spans="1:6" x14ac:dyDescent="0.3">
      <c r="A16" s="32">
        <v>27500000</v>
      </c>
      <c r="B16" s="33">
        <f>(((MIN(($A16/1/4),Premissas!$B$23)*Premissas!$B$19+MAX(($A16/1/4)-Premissas!$B$23,0)*Premissas!$B$21)*Premissas!$B$24+MAX((MIN(($A16/1/4),Premissas!$B$23)*Premissas!$B$19+MAX(($A16/1/4)-Premissas!$B$23,0)*Premissas!$B$21)-Premissas!$B$26,0)*Premissas!$B$25)+((MIN(($A16/1/4),Premissas!$B$23)*Premissas!$B$19+MAX(($A16/1/4)-Premissas!$B$23,0)*Premissas!$B$21)*Premissas!$B$27)+(($A16/1/4)*(Premissas!$B$28+Premissas!$B$29+Premissas!$B$30)))*4*1</f>
        <v>5591550</v>
      </c>
      <c r="C16" s="34">
        <f>$B16-((((MIN(($A16/2/4),Premissas!$B$23)*Premissas!$B$19+MAX(($A16/2/4)-Premissas!$B$23,0)*Premissas!$B$21)*Premissas!$B$24+MAX((MIN(($A16/2/4),Premissas!$B$23)*Premissas!$B$19+MAX(($A16/2/4)-Premissas!$B$23,0)*Premissas!$B$21)-Premissas!$B$26,0)*Premissas!$B$25)+((MIN(($A16/2/4),Premissas!$B$23)*Premissas!$B$19+MAX(($A16/2/4)-Premissas!$B$23,0)*Premissas!$B$21)*Premissas!$B$27)+(($A16/2/4)*(Premissas!$B$28+Premissas!$B$29+Premissas!$B$30)))*4*2)-((2-1)*Premissas!$B$40)</f>
        <v>39860</v>
      </c>
      <c r="D16" s="34">
        <f>$B16-((((MIN(($A16/3/4),Premissas!$B$23)*Premissas!$B$19+MAX(($A16/3/4)-Premissas!$B$23,0)*Premissas!$B$21)*Premissas!$B$24+MAX((MIN(($A16/3/4),Premissas!$B$23)*Premissas!$B$19+MAX(($A16/3/4)-Premissas!$B$23,0)*Premissas!$B$21)-Premissas!$B$26,0)*Premissas!$B$25)+((MIN(($A16/3/4),Premissas!$B$23)*Premissas!$B$19+MAX(($A16/3/4)-Premissas!$B$23,0)*Premissas!$B$21)*Premissas!$B$27)+(($A16/3/4)*(Premissas!$B$28+Premissas!$B$29+Premissas!$B$30)))*4*3)-((3-1)*Premissas!$B$40)</f>
        <v>79720.000000000931</v>
      </c>
      <c r="E16" s="34">
        <f>$B16-((((MIN(($A16/4/4),Premissas!$B$23)*Premissas!$B$19+MAX(($A16/4/4)-Premissas!$B$23,0)*Premissas!$B$21)*Premissas!$B$24+MAX((MIN(($A16/4/4),Premissas!$B$23)*Premissas!$B$19+MAX(($A16/4/4)-Premissas!$B$23,0)*Premissas!$B$21)-Premissas!$B$26,0)*Premissas!$B$25)+((MIN(($A16/4/4),Premissas!$B$23)*Premissas!$B$19+MAX(($A16/4/4)-Premissas!$B$23,0)*Premissas!$B$21)*Premissas!$B$27)+(($A16/4/4)*(Premissas!$B$28+Premissas!$B$29+Premissas!$B$30)))*4*4)-((4-1)*Premissas!$B$40)</f>
        <v>119580</v>
      </c>
      <c r="F16" s="34">
        <f>$B16-((((MIN(($A16/5/4),Premissas!$B$23)*Premissas!$B$19+MAX(($A16/5/4)-Premissas!$B$23,0)*Premissas!$B$21)*Premissas!$B$24+MAX((MIN(($A16/5/4),Premissas!$B$23)*Premissas!$B$19+MAX(($A16/5/4)-Premissas!$B$23,0)*Premissas!$B$21)-Premissas!$B$26,0)*Premissas!$B$25)+((MIN(($A16/5/4),Premissas!$B$23)*Premissas!$B$19+MAX(($A16/5/4)-Premissas!$B$23,0)*Premissas!$B$21)*Premissas!$B$27)+(($A16/5/4)*(Premissas!$B$28+Premissas!$B$29+Premissas!$B$30)))*4*5)-((5-1)*Premissas!$B$40)</f>
        <v>159440</v>
      </c>
    </row>
    <row r="17" spans="1:6" x14ac:dyDescent="0.3">
      <c r="A17" s="32">
        <v>30000000</v>
      </c>
      <c r="B17" s="33">
        <f>(((MIN(($A17/1/4),Premissas!$B$23)*Premissas!$B$19+MAX(($A17/1/4)-Premissas!$B$23,0)*Premissas!$B$21)*Premissas!$B$24+MAX((MIN(($A17/1/4),Premissas!$B$23)*Premissas!$B$19+MAX(($A17/1/4)-Premissas!$B$23,0)*Premissas!$B$21)-Premissas!$B$26,0)*Premissas!$B$25)+((MIN(($A17/1/4),Premissas!$B$23)*Premissas!$B$19+MAX(($A17/1/4)-Premissas!$B$23,0)*Premissas!$B$21)*Premissas!$B$27)+(($A17/1/4)*(Premissas!$B$28+Premissas!$B$29+Premissas!$B$30)))*4*1</f>
        <v>6107000</v>
      </c>
      <c r="C17" s="34">
        <f>$B17-((((MIN(($A17/2/4),Premissas!$B$23)*Premissas!$B$19+MAX(($A17/2/4)-Premissas!$B$23,0)*Premissas!$B$21)*Premissas!$B$24+MAX((MIN(($A17/2/4),Premissas!$B$23)*Premissas!$B$19+MAX(($A17/2/4)-Premissas!$B$23,0)*Premissas!$B$21)-Premissas!$B$26,0)*Premissas!$B$25)+((MIN(($A17/2/4),Premissas!$B$23)*Premissas!$B$19+MAX(($A17/2/4)-Premissas!$B$23,0)*Premissas!$B$21)*Premissas!$B$27)+(($A17/2/4)*(Premissas!$B$28+Premissas!$B$29+Premissas!$B$30)))*4*2)-((2-1)*Premissas!$B$40)</f>
        <v>39860</v>
      </c>
      <c r="D17" s="34">
        <f>$B17-((((MIN(($A17/3/4),Premissas!$B$23)*Premissas!$B$19+MAX(($A17/3/4)-Premissas!$B$23,0)*Premissas!$B$21)*Premissas!$B$24+MAX((MIN(($A17/3/4),Premissas!$B$23)*Premissas!$B$19+MAX(($A17/3/4)-Premissas!$B$23,0)*Premissas!$B$21)-Premissas!$B$26,0)*Premissas!$B$25)+((MIN(($A17/3/4),Premissas!$B$23)*Premissas!$B$19+MAX(($A17/3/4)-Premissas!$B$23,0)*Premissas!$B$21)*Premissas!$B$27)+(($A17/3/4)*(Premissas!$B$28+Premissas!$B$29+Premissas!$B$30)))*4*3)-((3-1)*Premissas!$B$40)</f>
        <v>79720</v>
      </c>
      <c r="E17" s="34">
        <f>$B17-((((MIN(($A17/4/4),Premissas!$B$23)*Premissas!$B$19+MAX(($A17/4/4)-Premissas!$B$23,0)*Premissas!$B$21)*Premissas!$B$24+MAX((MIN(($A17/4/4),Premissas!$B$23)*Premissas!$B$19+MAX(($A17/4/4)-Premissas!$B$23,0)*Premissas!$B$21)-Premissas!$B$26,0)*Premissas!$B$25)+((MIN(($A17/4/4),Premissas!$B$23)*Premissas!$B$19+MAX(($A17/4/4)-Premissas!$B$23,0)*Premissas!$B$21)*Premissas!$B$27)+(($A17/4/4)*(Premissas!$B$28+Premissas!$B$29+Premissas!$B$30)))*4*4)-((4-1)*Premissas!$B$40)</f>
        <v>119580</v>
      </c>
      <c r="F17" s="34">
        <f>$B17-((((MIN(($A17/5/4),Premissas!$B$23)*Premissas!$B$19+MAX(($A17/5/4)-Premissas!$B$23,0)*Premissas!$B$21)*Premissas!$B$24+MAX((MIN(($A17/5/4),Premissas!$B$23)*Premissas!$B$19+MAX(($A17/5/4)-Premissas!$B$23,0)*Premissas!$B$21)-Premissas!$B$26,0)*Premissas!$B$25)+((MIN(($A17/5/4),Premissas!$B$23)*Premissas!$B$19+MAX(($A17/5/4)-Premissas!$B$23,0)*Premissas!$B$21)*Premissas!$B$27)+(($A17/5/4)*(Premissas!$B$28+Premissas!$B$29+Premissas!$B$30)))*4*5)-((5-1)*Premissas!$B$40)</f>
        <v>159440</v>
      </c>
    </row>
    <row r="20" spans="1:6" x14ac:dyDescent="0.3">
      <c r="A20" s="11" t="s">
        <v>116</v>
      </c>
      <c r="B20" s="12"/>
      <c r="C20" s="12"/>
      <c r="D20" s="12"/>
      <c r="E20" s="12"/>
      <c r="F20" s="12"/>
    </row>
    <row r="21" spans="1:6" x14ac:dyDescent="0.3">
      <c r="A21" s="6" t="s">
        <v>110</v>
      </c>
      <c r="B21" s="6" t="s">
        <v>117</v>
      </c>
      <c r="C21" s="6" t="s">
        <v>112</v>
      </c>
      <c r="D21" s="6" t="s">
        <v>113</v>
      </c>
      <c r="E21" s="6" t="s">
        <v>114</v>
      </c>
      <c r="F21" s="6" t="s">
        <v>115</v>
      </c>
    </row>
    <row r="22" spans="1:6" x14ac:dyDescent="0.3">
      <c r="A22" s="32">
        <v>5000000</v>
      </c>
      <c r="B22" s="13">
        <f>((((MIN(($A22/1/4),Premissas!$B$23)*Premissas!$B$19+MAX(($A22/1/4)-Premissas!$B$23,0)*Premissas!$B$21)*Premissas!$B$24+MAX((MIN(($A22/1/4),Premissas!$B$23)*Premissas!$B$19+MAX(($A22/1/4)-Premissas!$B$23,0)*Premissas!$B$21)-Premissas!$B$26,0)*Premissas!$B$25)+((MIN(($A22/1/4),Premissas!$B$23)*Premissas!$B$19+MAX(($A22/1/4)-Premissas!$B$23,0)*Premissas!$B$21)*Premissas!$B$27)+(($A22/1/4)*(Premissas!$B$28+Premissas!$B$29+Premissas!$B$30)))*4*1)/$A22</f>
        <v>0.1905</v>
      </c>
      <c r="C22" s="13">
        <f>((((MIN(($A22/2/4),Premissas!$B$23)*Premissas!$B$19+MAX(($A22/2/4)-Premissas!$B$23,0)*Premissas!$B$21)*Premissas!$B$24+MAX((MIN(($A22/2/4),Premissas!$B$23)*Premissas!$B$19+MAX(($A22/2/4)-Premissas!$B$23,0)*Premissas!$B$21)-Premissas!$B$26,0)*Premissas!$B$25)+((MIN(($A22/2/4),Premissas!$B$23)*Premissas!$B$19+MAX(($A22/2/4)-Premissas!$B$23,0)*Premissas!$B$21)*Premissas!$B$27)+(($A22/2/4)*(Premissas!$B$28+Premissas!$B$29+Premissas!$B$30)))*4*2)/$A22</f>
        <v>0.1857</v>
      </c>
      <c r="D22" s="13">
        <f>((((MIN(($A22/3/4),Premissas!$B$23)*Premissas!$B$19+MAX(($A22/3/4)-Premissas!$B$23,0)*Premissas!$B$21)*Premissas!$B$24+MAX((MIN(($A22/3/4),Premissas!$B$23)*Premissas!$B$19+MAX(($A22/3/4)-Premissas!$B$23,0)*Premissas!$B$21)-Premissas!$B$26,0)*Premissas!$B$25)+((MIN(($A22/3/4),Premissas!$B$23)*Premissas!$B$19+MAX(($A22/3/4)-Premissas!$B$23,0)*Premissas!$B$21)*Premissas!$B$27)+(($A22/3/4)*(Premissas!$B$28+Premissas!$B$29+Premissas!$B$30)))*4*3)/$A22</f>
        <v>0.18090000000000001</v>
      </c>
      <c r="E22" s="13">
        <f>((((MIN(($A22/4/4),Premissas!$B$23)*Premissas!$B$19+MAX(($A22/4/4)-Premissas!$B$23,0)*Premissas!$B$21)*Premissas!$B$24+MAX((MIN(($A22/4/4),Premissas!$B$23)*Premissas!$B$19+MAX(($A22/4/4)-Premissas!$B$23,0)*Premissas!$B$21)-Premissas!$B$26,0)*Premissas!$B$25)+((MIN(($A22/4/4),Premissas!$B$23)*Premissas!$B$19+MAX(($A22/4/4)-Premissas!$B$23,0)*Premissas!$B$21)*Premissas!$B$27)+(($A22/4/4)*(Premissas!$B$28+Premissas!$B$29+Premissas!$B$30)))*4*4)/$A22</f>
        <v>0.17610000000000001</v>
      </c>
      <c r="F22" s="13">
        <f>((((MIN(($A22/5/4),Premissas!$B$23)*Premissas!$B$19+MAX(($A22/5/4)-Premissas!$B$23,0)*Premissas!$B$21)*Premissas!$B$24+MAX((MIN(($A22/5/4),Premissas!$B$23)*Premissas!$B$19+MAX(($A22/5/4)-Premissas!$B$23,0)*Premissas!$B$21)-Premissas!$B$26,0)*Premissas!$B$25)+((MIN(($A22/5/4),Premissas!$B$23)*Premissas!$B$19+MAX(($A22/5/4)-Premissas!$B$23,0)*Premissas!$B$21)*Premissas!$B$27)+(($A22/5/4)*(Premissas!$B$28+Premissas!$B$29+Premissas!$B$30)))*4*5)/$A22</f>
        <v>0.17130000000000001</v>
      </c>
    </row>
    <row r="23" spans="1:6" x14ac:dyDescent="0.3">
      <c r="A23" s="32">
        <v>7500000</v>
      </c>
      <c r="B23" s="13">
        <f>((((MIN(($A23/1/4),Premissas!$B$23)*Premissas!$B$19+MAX(($A23/1/4)-Premissas!$B$23,0)*Premissas!$B$21)*Premissas!$B$24+MAX((MIN(($A23/1/4),Premissas!$B$23)*Premissas!$B$19+MAX(($A23/1/4)-Premissas!$B$23,0)*Premissas!$B$21)-Premissas!$B$26,0)*Premissas!$B$25)+((MIN(($A23/1/4),Premissas!$B$23)*Premissas!$B$19+MAX(($A23/1/4)-Premissas!$B$23,0)*Premissas!$B$21)*Premissas!$B$27)+(($A23/1/4)*(Premissas!$B$28+Premissas!$B$29+Premissas!$B$30)))*4*1)/$A23</f>
        <v>0.19572666666666666</v>
      </c>
      <c r="C23" s="13">
        <f>((((MIN(($A23/2/4),Premissas!$B$23)*Premissas!$B$19+MAX(($A23/2/4)-Premissas!$B$23,0)*Premissas!$B$21)*Premissas!$B$24+MAX((MIN(($A23/2/4),Premissas!$B$23)*Premissas!$B$19+MAX(($A23/2/4)-Premissas!$B$23,0)*Premissas!$B$21)-Premissas!$B$26,0)*Premissas!$B$25)+((MIN(($A23/2/4),Premissas!$B$23)*Premissas!$B$19+MAX(($A23/2/4)-Premissas!$B$23,0)*Premissas!$B$21)*Premissas!$B$27)+(($A23/2/4)*(Premissas!$B$28+Premissas!$B$29+Premissas!$B$30)))*4*2)/$A23</f>
        <v>0.18890000000000001</v>
      </c>
      <c r="D23" s="13">
        <f>((((MIN(($A23/3/4),Premissas!$B$23)*Premissas!$B$19+MAX(($A23/3/4)-Premissas!$B$23,0)*Premissas!$B$21)*Premissas!$B$24+MAX((MIN(($A23/3/4),Premissas!$B$23)*Premissas!$B$19+MAX(($A23/3/4)-Premissas!$B$23,0)*Premissas!$B$21)-Premissas!$B$26,0)*Premissas!$B$25)+((MIN(($A23/3/4),Premissas!$B$23)*Premissas!$B$19+MAX(($A23/3/4)-Premissas!$B$23,0)*Premissas!$B$21)*Premissas!$B$27)+(($A23/3/4)*(Premissas!$B$28+Premissas!$B$29+Premissas!$B$30)))*4*3)/$A23</f>
        <v>0.1857</v>
      </c>
      <c r="E23" s="13">
        <f>((((MIN(($A23/4/4),Premissas!$B$23)*Premissas!$B$19+MAX(($A23/4/4)-Premissas!$B$23,0)*Premissas!$B$21)*Premissas!$B$24+MAX((MIN(($A23/4/4),Premissas!$B$23)*Premissas!$B$19+MAX(($A23/4/4)-Premissas!$B$23,0)*Premissas!$B$21)-Premissas!$B$26,0)*Premissas!$B$25)+((MIN(($A23/4/4),Premissas!$B$23)*Premissas!$B$19+MAX(($A23/4/4)-Premissas!$B$23,0)*Premissas!$B$21)*Premissas!$B$27)+(($A23/4/4)*(Premissas!$B$28+Premissas!$B$29+Premissas!$B$30)))*4*4)/$A23</f>
        <v>0.1825</v>
      </c>
      <c r="F23" s="13">
        <f>((((MIN(($A23/5/4),Premissas!$B$23)*Premissas!$B$19+MAX(($A23/5/4)-Premissas!$B$23,0)*Premissas!$B$21)*Premissas!$B$24+MAX((MIN(($A23/5/4),Premissas!$B$23)*Premissas!$B$19+MAX(($A23/5/4)-Premissas!$B$23,0)*Premissas!$B$21)-Premissas!$B$26,0)*Premissas!$B$25)+((MIN(($A23/5/4),Premissas!$B$23)*Premissas!$B$19+MAX(($A23/5/4)-Premissas!$B$23,0)*Premissas!$B$21)*Premissas!$B$27)+(($A23/5/4)*(Premissas!$B$28+Premissas!$B$29+Premissas!$B$30)))*4*5)/$A23</f>
        <v>0.17929999999999999</v>
      </c>
    </row>
    <row r="24" spans="1:6" x14ac:dyDescent="0.3">
      <c r="A24" s="32">
        <v>10000000</v>
      </c>
      <c r="B24" s="13">
        <f>((((MIN(($A24/1/4),Premissas!$B$23)*Premissas!$B$19+MAX(($A24/1/4)-Premissas!$B$23,0)*Premissas!$B$21)*Premissas!$B$24+MAX((MIN(($A24/1/4),Premissas!$B$23)*Premissas!$B$19+MAX(($A24/1/4)-Premissas!$B$23,0)*Premissas!$B$21)-Premissas!$B$26,0)*Premissas!$B$25)+((MIN(($A24/1/4),Premissas!$B$23)*Premissas!$B$19+MAX(($A24/1/4)-Premissas!$B$23,0)*Premissas!$B$21)*Premissas!$B$27)+(($A24/1/4)*(Premissas!$B$28+Premissas!$B$29+Premissas!$B$30)))*4*1)/$A24</f>
        <v>0.19833999999999999</v>
      </c>
      <c r="C24" s="13">
        <f>((((MIN(($A24/2/4),Premissas!$B$23)*Premissas!$B$19+MAX(($A24/2/4)-Premissas!$B$23,0)*Premissas!$B$21)*Premissas!$B$24+MAX((MIN(($A24/2/4),Premissas!$B$23)*Premissas!$B$19+MAX(($A24/2/4)-Premissas!$B$23,0)*Premissas!$B$21)-Premissas!$B$26,0)*Premissas!$B$25)+((MIN(($A24/2/4),Premissas!$B$23)*Premissas!$B$19+MAX(($A24/2/4)-Premissas!$B$23,0)*Premissas!$B$21)*Premissas!$B$27)+(($A24/2/4)*(Premissas!$B$28+Premissas!$B$29+Premissas!$B$30)))*4*2)/$A24</f>
        <v>0.1905</v>
      </c>
      <c r="D24" s="13">
        <f>((((MIN(($A24/3/4),Premissas!$B$23)*Premissas!$B$19+MAX(($A24/3/4)-Premissas!$B$23,0)*Premissas!$B$21)*Premissas!$B$24+MAX((MIN(($A24/3/4),Premissas!$B$23)*Premissas!$B$19+MAX(($A24/3/4)-Premissas!$B$23,0)*Premissas!$B$21)-Premissas!$B$26,0)*Premissas!$B$25)+((MIN(($A24/3/4),Premissas!$B$23)*Premissas!$B$19+MAX(($A24/3/4)-Premissas!$B$23,0)*Premissas!$B$21)*Premissas!$B$27)+(($A24/3/4)*(Premissas!$B$28+Premissas!$B$29+Premissas!$B$30)))*4*3)/$A24</f>
        <v>0.18809999999999999</v>
      </c>
      <c r="E24" s="13">
        <f>((((MIN(($A24/4/4),Premissas!$B$23)*Premissas!$B$19+MAX(($A24/4/4)-Premissas!$B$23,0)*Premissas!$B$21)*Premissas!$B$24+MAX((MIN(($A24/4/4),Premissas!$B$23)*Premissas!$B$19+MAX(($A24/4/4)-Premissas!$B$23,0)*Premissas!$B$21)-Premissas!$B$26,0)*Premissas!$B$25)+((MIN(($A24/4/4),Premissas!$B$23)*Premissas!$B$19+MAX(($A24/4/4)-Premissas!$B$23,0)*Premissas!$B$21)*Premissas!$B$27)+(($A24/4/4)*(Premissas!$B$28+Premissas!$B$29+Premissas!$B$30)))*4*4)/$A24</f>
        <v>0.1857</v>
      </c>
      <c r="F24" s="13">
        <f>((((MIN(($A24/5/4),Premissas!$B$23)*Premissas!$B$19+MAX(($A24/5/4)-Premissas!$B$23,0)*Premissas!$B$21)*Premissas!$B$24+MAX((MIN(($A24/5/4),Premissas!$B$23)*Premissas!$B$19+MAX(($A24/5/4)-Premissas!$B$23,0)*Premissas!$B$21)-Premissas!$B$26,0)*Premissas!$B$25)+((MIN(($A24/5/4),Premissas!$B$23)*Premissas!$B$19+MAX(($A24/5/4)-Premissas!$B$23,0)*Premissas!$B$21)*Premissas!$B$27)+(($A24/5/4)*(Premissas!$B$28+Premissas!$B$29+Premissas!$B$30)))*4*5)/$A24</f>
        <v>0.18329999999999999</v>
      </c>
    </row>
    <row r="25" spans="1:6" x14ac:dyDescent="0.3">
      <c r="A25" s="32">
        <v>12500000</v>
      </c>
      <c r="B25" s="13">
        <f>((((MIN(($A25/1/4),Premissas!$B$23)*Premissas!$B$19+MAX(($A25/1/4)-Premissas!$B$23,0)*Premissas!$B$21)*Premissas!$B$24+MAX((MIN(($A25/1/4),Premissas!$B$23)*Premissas!$B$19+MAX(($A25/1/4)-Premissas!$B$23,0)*Premissas!$B$21)-Premissas!$B$26,0)*Premissas!$B$25)+((MIN(($A25/1/4),Premissas!$B$23)*Premissas!$B$19+MAX(($A25/1/4)-Premissas!$B$23,0)*Premissas!$B$21)*Premissas!$B$27)+(($A25/1/4)*(Premissas!$B$28+Premissas!$B$29+Premissas!$B$30)))*4*1)/$A25</f>
        <v>0.199908</v>
      </c>
      <c r="C25" s="13">
        <f>((((MIN(($A25/2/4),Premissas!$B$23)*Premissas!$B$19+MAX(($A25/2/4)-Premissas!$B$23,0)*Premissas!$B$21)*Premissas!$B$24+MAX((MIN(($A25/2/4),Premissas!$B$23)*Premissas!$B$19+MAX(($A25/2/4)-Premissas!$B$23,0)*Premissas!$B$21)-Premissas!$B$26,0)*Premissas!$B$25)+((MIN(($A25/2/4),Premissas!$B$23)*Premissas!$B$19+MAX(($A25/2/4)-Premissas!$B$23,0)*Premissas!$B$21)*Premissas!$B$27)+(($A25/2/4)*(Premissas!$B$28+Premissas!$B$29+Premissas!$B$30)))*4*2)/$A25</f>
        <v>0.193636</v>
      </c>
      <c r="D25" s="13">
        <f>((((MIN(($A25/3/4),Premissas!$B$23)*Premissas!$B$19+MAX(($A25/3/4)-Premissas!$B$23,0)*Premissas!$B$21)*Premissas!$B$24+MAX((MIN(($A25/3/4),Premissas!$B$23)*Premissas!$B$19+MAX(($A25/3/4)-Premissas!$B$23,0)*Premissas!$B$21)-Premissas!$B$26,0)*Premissas!$B$25)+((MIN(($A25/3/4),Premissas!$B$23)*Premissas!$B$19+MAX(($A25/3/4)-Premissas!$B$23,0)*Premissas!$B$21)*Premissas!$B$27)+(($A25/3/4)*(Premissas!$B$28+Premissas!$B$29+Premissas!$B$30)))*4*3)/$A25</f>
        <v>0.18953999999999999</v>
      </c>
      <c r="E25" s="13">
        <f>((((MIN(($A25/4/4),Premissas!$B$23)*Premissas!$B$19+MAX(($A25/4/4)-Premissas!$B$23,0)*Premissas!$B$21)*Premissas!$B$24+MAX((MIN(($A25/4/4),Premissas!$B$23)*Premissas!$B$19+MAX(($A25/4/4)-Premissas!$B$23,0)*Premissas!$B$21)-Premissas!$B$26,0)*Premissas!$B$25)+((MIN(($A25/4/4),Premissas!$B$23)*Premissas!$B$19+MAX(($A25/4/4)-Premissas!$B$23,0)*Premissas!$B$21)*Premissas!$B$27)+(($A25/4/4)*(Premissas!$B$28+Premissas!$B$29+Premissas!$B$30)))*4*4)/$A25</f>
        <v>0.18762000000000001</v>
      </c>
      <c r="F25" s="13">
        <f>((((MIN(($A25/5/4),Premissas!$B$23)*Premissas!$B$19+MAX(($A25/5/4)-Premissas!$B$23,0)*Premissas!$B$21)*Premissas!$B$24+MAX((MIN(($A25/5/4),Premissas!$B$23)*Premissas!$B$19+MAX(($A25/5/4)-Premissas!$B$23,0)*Premissas!$B$21)-Premissas!$B$26,0)*Premissas!$B$25)+((MIN(($A25/5/4),Premissas!$B$23)*Premissas!$B$19+MAX(($A25/5/4)-Premissas!$B$23,0)*Premissas!$B$21)*Premissas!$B$27)+(($A25/5/4)*(Premissas!$B$28+Premissas!$B$29+Premissas!$B$30)))*4*5)/$A25</f>
        <v>0.1857</v>
      </c>
    </row>
    <row r="26" spans="1:6" x14ac:dyDescent="0.3">
      <c r="A26" s="32">
        <v>15000000</v>
      </c>
      <c r="B26" s="13">
        <f>((((MIN(($A26/1/4),Premissas!$B$23)*Premissas!$B$19+MAX(($A26/1/4)-Premissas!$B$23,0)*Premissas!$B$21)*Premissas!$B$24+MAX((MIN(($A26/1/4),Premissas!$B$23)*Premissas!$B$19+MAX(($A26/1/4)-Premissas!$B$23,0)*Premissas!$B$21)-Premissas!$B$26,0)*Premissas!$B$25)+((MIN(($A26/1/4),Premissas!$B$23)*Premissas!$B$19+MAX(($A26/1/4)-Premissas!$B$23,0)*Premissas!$B$21)*Premissas!$B$27)+(($A26/1/4)*(Premissas!$B$28+Premissas!$B$29+Premissas!$B$30)))*4*1)/$A26</f>
        <v>0.20095333333333334</v>
      </c>
      <c r="C26" s="13">
        <f>((((MIN(($A26/2/4),Premissas!$B$23)*Premissas!$B$19+MAX(($A26/2/4)-Premissas!$B$23,0)*Premissas!$B$21)*Premissas!$B$24+MAX((MIN(($A26/2/4),Premissas!$B$23)*Premissas!$B$19+MAX(($A26/2/4)-Premissas!$B$23,0)*Premissas!$B$21)-Premissas!$B$26,0)*Premissas!$B$25)+((MIN(($A26/2/4),Premissas!$B$23)*Premissas!$B$19+MAX(($A26/2/4)-Premissas!$B$23,0)*Premissas!$B$21)*Premissas!$B$27)+(($A26/2/4)*(Premissas!$B$28+Premissas!$B$29+Premissas!$B$30)))*4*2)/$A26</f>
        <v>0.19572666666666666</v>
      </c>
      <c r="D26" s="13">
        <f>((((MIN(($A26/3/4),Premissas!$B$23)*Premissas!$B$19+MAX(($A26/3/4)-Premissas!$B$23,0)*Premissas!$B$21)*Premissas!$B$24+MAX((MIN(($A26/3/4),Premissas!$B$23)*Premissas!$B$19+MAX(($A26/3/4)-Premissas!$B$23,0)*Premissas!$B$21)-Premissas!$B$26,0)*Premissas!$B$25)+((MIN(($A26/3/4),Premissas!$B$23)*Premissas!$B$19+MAX(($A26/3/4)-Premissas!$B$23,0)*Premissas!$B$21)*Premissas!$B$27)+(($A26/3/4)*(Premissas!$B$28+Premissas!$B$29+Premissas!$B$30)))*4*3)/$A26</f>
        <v>0.1905</v>
      </c>
      <c r="E26" s="13">
        <f>((((MIN(($A26/4/4),Premissas!$B$23)*Premissas!$B$19+MAX(($A26/4/4)-Premissas!$B$23,0)*Premissas!$B$21)*Premissas!$B$24+MAX((MIN(($A26/4/4),Premissas!$B$23)*Premissas!$B$19+MAX(($A26/4/4)-Premissas!$B$23,0)*Premissas!$B$21)-Premissas!$B$26,0)*Premissas!$B$25)+((MIN(($A26/4/4),Premissas!$B$23)*Premissas!$B$19+MAX(($A26/4/4)-Premissas!$B$23,0)*Premissas!$B$21)*Premissas!$B$27)+(($A26/4/4)*(Premissas!$B$28+Premissas!$B$29+Premissas!$B$30)))*4*4)/$A26</f>
        <v>0.18890000000000001</v>
      </c>
      <c r="F26" s="13">
        <f>((((MIN(($A26/5/4),Premissas!$B$23)*Premissas!$B$19+MAX(($A26/5/4)-Premissas!$B$23,0)*Premissas!$B$21)*Premissas!$B$24+MAX((MIN(($A26/5/4),Premissas!$B$23)*Premissas!$B$19+MAX(($A26/5/4)-Premissas!$B$23,0)*Premissas!$B$21)-Premissas!$B$26,0)*Premissas!$B$25)+((MIN(($A26/5/4),Premissas!$B$23)*Premissas!$B$19+MAX(($A26/5/4)-Premissas!$B$23,0)*Premissas!$B$21)*Premissas!$B$27)+(($A26/5/4)*(Premissas!$B$28+Premissas!$B$29+Premissas!$B$30)))*4*5)/$A26</f>
        <v>0.18729999999999999</v>
      </c>
    </row>
    <row r="27" spans="1:6" x14ac:dyDescent="0.3">
      <c r="A27" s="32">
        <v>17500000</v>
      </c>
      <c r="B27" s="13">
        <f>((((MIN(($A27/1/4),Premissas!$B$23)*Premissas!$B$19+MAX(($A27/1/4)-Premissas!$B$23,0)*Premissas!$B$21)*Premissas!$B$24+MAX((MIN(($A27/1/4),Premissas!$B$23)*Premissas!$B$19+MAX(($A27/1/4)-Premissas!$B$23,0)*Premissas!$B$21)-Premissas!$B$26,0)*Premissas!$B$25)+((MIN(($A27/1/4),Premissas!$B$23)*Premissas!$B$19+MAX(($A27/1/4)-Premissas!$B$23,0)*Premissas!$B$21)*Premissas!$B$27)+(($A27/1/4)*(Premissas!$B$28+Premissas!$B$29+Premissas!$B$30)))*4*1)/$A27</f>
        <v>0.20169999999999999</v>
      </c>
      <c r="C27" s="13">
        <f>((((MIN(($A27/2/4),Premissas!$B$23)*Premissas!$B$19+MAX(($A27/2/4)-Premissas!$B$23,0)*Premissas!$B$21)*Premissas!$B$24+MAX((MIN(($A27/2/4),Premissas!$B$23)*Premissas!$B$19+MAX(($A27/2/4)-Premissas!$B$23,0)*Premissas!$B$21)-Premissas!$B$26,0)*Premissas!$B$25)+((MIN(($A27/2/4),Premissas!$B$23)*Premissas!$B$19+MAX(($A27/2/4)-Premissas!$B$23,0)*Premissas!$B$21)*Premissas!$B$27)+(($A27/2/4)*(Premissas!$B$28+Premissas!$B$29+Premissas!$B$30)))*4*2)/$A27</f>
        <v>0.19722000000000001</v>
      </c>
      <c r="D27" s="13">
        <f>((((MIN(($A27/3/4),Premissas!$B$23)*Premissas!$B$19+MAX(($A27/3/4)-Premissas!$B$23,0)*Premissas!$B$21)*Premissas!$B$24+MAX((MIN(($A27/3/4),Premissas!$B$23)*Premissas!$B$19+MAX(($A27/3/4)-Premissas!$B$23,0)*Premissas!$B$21)-Premissas!$B$26,0)*Premissas!$B$25)+((MIN(($A27/3/4),Premissas!$B$23)*Premissas!$B$19+MAX(($A27/3/4)-Premissas!$B$23,0)*Premissas!$B$21)*Premissas!$B$27)+(($A27/3/4)*(Premissas!$B$28+Premissas!$B$29+Premissas!$B$30)))*4*3)/$A27</f>
        <v>0.19273999999999997</v>
      </c>
      <c r="E27" s="13">
        <f>((((MIN(($A27/4/4),Premissas!$B$23)*Premissas!$B$19+MAX(($A27/4/4)-Premissas!$B$23,0)*Premissas!$B$21)*Premissas!$B$24+MAX((MIN(($A27/4/4),Premissas!$B$23)*Premissas!$B$19+MAX(($A27/4/4)-Premissas!$B$23,0)*Premissas!$B$21)-Premissas!$B$26,0)*Premissas!$B$25)+((MIN(($A27/4/4),Premissas!$B$23)*Premissas!$B$19+MAX(($A27/4/4)-Premissas!$B$23,0)*Premissas!$B$21)*Premissas!$B$27)+(($A27/4/4)*(Premissas!$B$28+Premissas!$B$29+Premissas!$B$30)))*4*4)/$A27</f>
        <v>0.18981428571428571</v>
      </c>
      <c r="F27" s="13">
        <f>((((MIN(($A27/5/4),Premissas!$B$23)*Premissas!$B$19+MAX(($A27/5/4)-Premissas!$B$23,0)*Premissas!$B$21)*Premissas!$B$24+MAX((MIN(($A27/5/4),Premissas!$B$23)*Premissas!$B$19+MAX(($A27/5/4)-Premissas!$B$23,0)*Premissas!$B$21)-Premissas!$B$26,0)*Premissas!$B$25)+((MIN(($A27/5/4),Premissas!$B$23)*Premissas!$B$19+MAX(($A27/5/4)-Premissas!$B$23,0)*Premissas!$B$21)*Premissas!$B$27)+(($A27/5/4)*(Premissas!$B$28+Premissas!$B$29+Premissas!$B$30)))*4*5)/$A27</f>
        <v>0.18844285714285713</v>
      </c>
    </row>
    <row r="28" spans="1:6" x14ac:dyDescent="0.3">
      <c r="A28" s="32">
        <v>20000000</v>
      </c>
      <c r="B28" s="13">
        <f>((((MIN(($A28/1/4),Premissas!$B$23)*Premissas!$B$19+MAX(($A28/1/4)-Premissas!$B$23,0)*Premissas!$B$21)*Premissas!$B$24+MAX((MIN(($A28/1/4),Premissas!$B$23)*Premissas!$B$19+MAX(($A28/1/4)-Premissas!$B$23,0)*Premissas!$B$21)-Premissas!$B$26,0)*Premissas!$B$25)+((MIN(($A28/1/4),Premissas!$B$23)*Premissas!$B$19+MAX(($A28/1/4)-Premissas!$B$23,0)*Premissas!$B$21)*Premissas!$B$27)+(($A28/1/4)*(Premissas!$B$28+Premissas!$B$29+Premissas!$B$30)))*4*1)/$A28</f>
        <v>0.20226</v>
      </c>
      <c r="C28" s="13">
        <f>((((MIN(($A28/2/4),Premissas!$B$23)*Premissas!$B$19+MAX(($A28/2/4)-Premissas!$B$23,0)*Premissas!$B$21)*Premissas!$B$24+MAX((MIN(($A28/2/4),Premissas!$B$23)*Premissas!$B$19+MAX(($A28/2/4)-Premissas!$B$23,0)*Premissas!$B$21)-Premissas!$B$26,0)*Premissas!$B$25)+((MIN(($A28/2/4),Premissas!$B$23)*Premissas!$B$19+MAX(($A28/2/4)-Premissas!$B$23,0)*Premissas!$B$21)*Premissas!$B$27)+(($A28/2/4)*(Premissas!$B$28+Premissas!$B$29+Premissas!$B$30)))*4*2)/$A28</f>
        <v>0.19833999999999999</v>
      </c>
      <c r="D28" s="13">
        <f>((((MIN(($A28/3/4),Premissas!$B$23)*Premissas!$B$19+MAX(($A28/3/4)-Premissas!$B$23,0)*Premissas!$B$21)*Premissas!$B$24+MAX((MIN(($A28/3/4),Premissas!$B$23)*Premissas!$B$19+MAX(($A28/3/4)-Premissas!$B$23,0)*Premissas!$B$21)-Premissas!$B$26,0)*Premissas!$B$25)+((MIN(($A28/3/4),Premissas!$B$23)*Premissas!$B$19+MAX(($A28/3/4)-Premissas!$B$23,0)*Premissas!$B$21)*Premissas!$B$27)+(($A28/3/4)*(Premissas!$B$28+Premissas!$B$29+Premissas!$B$30)))*4*3)/$A28</f>
        <v>0.19442000000000001</v>
      </c>
      <c r="E28" s="13">
        <f>((((MIN(($A28/4/4),Premissas!$B$23)*Premissas!$B$19+MAX(($A28/4/4)-Premissas!$B$23,0)*Premissas!$B$21)*Premissas!$B$24+MAX((MIN(($A28/4/4),Premissas!$B$23)*Premissas!$B$19+MAX(($A28/4/4)-Premissas!$B$23,0)*Premissas!$B$21)-Premissas!$B$26,0)*Premissas!$B$25)+((MIN(($A28/4/4),Premissas!$B$23)*Premissas!$B$19+MAX(($A28/4/4)-Premissas!$B$23,0)*Premissas!$B$21)*Premissas!$B$27)+(($A28/4/4)*(Premissas!$B$28+Premissas!$B$29+Premissas!$B$30)))*4*4)/$A28</f>
        <v>0.1905</v>
      </c>
      <c r="F28" s="13">
        <f>((((MIN(($A28/5/4),Premissas!$B$23)*Premissas!$B$19+MAX(($A28/5/4)-Premissas!$B$23,0)*Premissas!$B$21)*Premissas!$B$24+MAX((MIN(($A28/5/4),Premissas!$B$23)*Premissas!$B$19+MAX(($A28/5/4)-Premissas!$B$23,0)*Premissas!$B$21)-Premissas!$B$26,0)*Premissas!$B$25)+((MIN(($A28/5/4),Premissas!$B$23)*Premissas!$B$19+MAX(($A28/5/4)-Premissas!$B$23,0)*Premissas!$B$21)*Premissas!$B$27)+(($A28/5/4)*(Premissas!$B$28+Premissas!$B$29+Premissas!$B$30)))*4*5)/$A28</f>
        <v>0.1893</v>
      </c>
    </row>
    <row r="29" spans="1:6" x14ac:dyDescent="0.3">
      <c r="A29" s="32">
        <v>22500000</v>
      </c>
      <c r="B29" s="13">
        <f>((((MIN(($A29/1/4),Premissas!$B$23)*Premissas!$B$19+MAX(($A29/1/4)-Premissas!$B$23,0)*Premissas!$B$21)*Premissas!$B$24+MAX((MIN(($A29/1/4),Premissas!$B$23)*Premissas!$B$19+MAX(($A29/1/4)-Premissas!$B$23,0)*Premissas!$B$21)-Premissas!$B$26,0)*Premissas!$B$25)+((MIN(($A29/1/4),Premissas!$B$23)*Premissas!$B$19+MAX(($A29/1/4)-Premissas!$B$23,0)*Premissas!$B$21)*Premissas!$B$27)+(($A29/1/4)*(Premissas!$B$28+Premissas!$B$29+Premissas!$B$30)))*4*1)/$A29</f>
        <v>0.20269555555555555</v>
      </c>
      <c r="C29" s="13">
        <f>((((MIN(($A29/2/4),Premissas!$B$23)*Premissas!$B$19+MAX(($A29/2/4)-Premissas!$B$23,0)*Premissas!$B$21)*Premissas!$B$24+MAX((MIN(($A29/2/4),Premissas!$B$23)*Premissas!$B$19+MAX(($A29/2/4)-Premissas!$B$23,0)*Premissas!$B$21)-Premissas!$B$26,0)*Premissas!$B$25)+((MIN(($A29/2/4),Premissas!$B$23)*Premissas!$B$19+MAX(($A29/2/4)-Premissas!$B$23,0)*Premissas!$B$21)*Premissas!$B$27)+(($A29/2/4)*(Premissas!$B$28+Premissas!$B$29+Premissas!$B$30)))*4*2)/$A29</f>
        <v>0.19921111111111112</v>
      </c>
      <c r="D29" s="13">
        <f>((((MIN(($A29/3/4),Premissas!$B$23)*Premissas!$B$19+MAX(($A29/3/4)-Premissas!$B$23,0)*Premissas!$B$21)*Premissas!$B$24+MAX((MIN(($A29/3/4),Premissas!$B$23)*Premissas!$B$19+MAX(($A29/3/4)-Premissas!$B$23,0)*Premissas!$B$21)-Premissas!$B$26,0)*Premissas!$B$25)+((MIN(($A29/3/4),Premissas!$B$23)*Premissas!$B$19+MAX(($A29/3/4)-Premissas!$B$23,0)*Premissas!$B$21)*Premissas!$B$27)+(($A29/3/4)*(Premissas!$B$28+Premissas!$B$29+Premissas!$B$30)))*4*3)/$A29</f>
        <v>0.19572666666666666</v>
      </c>
      <c r="E29" s="13">
        <f>((((MIN(($A29/4/4),Premissas!$B$23)*Premissas!$B$19+MAX(($A29/4/4)-Premissas!$B$23,0)*Premissas!$B$21)*Premissas!$B$24+MAX((MIN(($A29/4/4),Premissas!$B$23)*Premissas!$B$19+MAX(($A29/4/4)-Premissas!$B$23,0)*Premissas!$B$21)-Premissas!$B$26,0)*Premissas!$B$25)+((MIN(($A29/4/4),Premissas!$B$23)*Premissas!$B$19+MAX(($A29/4/4)-Premissas!$B$23,0)*Premissas!$B$21)*Premissas!$B$27)+(($A29/4/4)*(Premissas!$B$28+Premissas!$B$29+Premissas!$B$30)))*4*4)/$A29</f>
        <v>0.19224222222222223</v>
      </c>
      <c r="F29" s="13">
        <f>((((MIN(($A29/5/4),Premissas!$B$23)*Premissas!$B$19+MAX(($A29/5/4)-Premissas!$B$23,0)*Premissas!$B$21)*Premissas!$B$24+MAX((MIN(($A29/5/4),Premissas!$B$23)*Premissas!$B$19+MAX(($A29/5/4)-Premissas!$B$23,0)*Premissas!$B$21)-Premissas!$B$26,0)*Premissas!$B$25)+((MIN(($A29/5/4),Premissas!$B$23)*Premissas!$B$19+MAX(($A29/5/4)-Premissas!$B$23,0)*Premissas!$B$21)*Premissas!$B$27)+(($A29/5/4)*(Premissas!$B$28+Premissas!$B$29+Premissas!$B$30)))*4*5)/$A29</f>
        <v>0.18996666666666667</v>
      </c>
    </row>
    <row r="30" spans="1:6" x14ac:dyDescent="0.3">
      <c r="A30" s="32">
        <v>25000000</v>
      </c>
      <c r="B30" s="13">
        <f>((((MIN(($A30/1/4),Premissas!$B$23)*Premissas!$B$19+MAX(($A30/1/4)-Premissas!$B$23,0)*Premissas!$B$21)*Premissas!$B$24+MAX((MIN(($A30/1/4),Premissas!$B$23)*Premissas!$B$19+MAX(($A30/1/4)-Premissas!$B$23,0)*Premissas!$B$21)-Premissas!$B$26,0)*Premissas!$B$25)+((MIN(($A30/1/4),Premissas!$B$23)*Premissas!$B$19+MAX(($A30/1/4)-Premissas!$B$23,0)*Premissas!$B$21)*Premissas!$B$27)+(($A30/1/4)*(Premissas!$B$28+Premissas!$B$29+Premissas!$B$30)))*4*1)/$A30</f>
        <v>0.203044</v>
      </c>
      <c r="C30" s="13">
        <f>((((MIN(($A30/2/4),Premissas!$B$23)*Premissas!$B$19+MAX(($A30/2/4)-Premissas!$B$23,0)*Premissas!$B$21)*Premissas!$B$24+MAX((MIN(($A30/2/4),Premissas!$B$23)*Premissas!$B$19+MAX(($A30/2/4)-Premissas!$B$23,0)*Premissas!$B$21)-Premissas!$B$26,0)*Premissas!$B$25)+((MIN(($A30/2/4),Premissas!$B$23)*Premissas!$B$19+MAX(($A30/2/4)-Premissas!$B$23,0)*Premissas!$B$21)*Premissas!$B$27)+(($A30/2/4)*(Premissas!$B$28+Premissas!$B$29+Premissas!$B$30)))*4*2)/$A30</f>
        <v>0.199908</v>
      </c>
      <c r="D30" s="13">
        <f>((((MIN(($A30/3/4),Premissas!$B$23)*Premissas!$B$19+MAX(($A30/3/4)-Premissas!$B$23,0)*Premissas!$B$21)*Premissas!$B$24+MAX((MIN(($A30/3/4),Premissas!$B$23)*Premissas!$B$19+MAX(($A30/3/4)-Premissas!$B$23,0)*Premissas!$B$21)-Premissas!$B$26,0)*Premissas!$B$25)+((MIN(($A30/3/4),Premissas!$B$23)*Premissas!$B$19+MAX(($A30/3/4)-Premissas!$B$23,0)*Premissas!$B$21)*Premissas!$B$27)+(($A30/3/4)*(Premissas!$B$28+Premissas!$B$29+Premissas!$B$30)))*4*3)/$A30</f>
        <v>0.196772</v>
      </c>
      <c r="E30" s="13">
        <f>((((MIN(($A30/4/4),Premissas!$B$23)*Premissas!$B$19+MAX(($A30/4/4)-Premissas!$B$23,0)*Premissas!$B$21)*Premissas!$B$24+MAX((MIN(($A30/4/4),Premissas!$B$23)*Premissas!$B$19+MAX(($A30/4/4)-Premissas!$B$23,0)*Premissas!$B$21)-Premissas!$B$26,0)*Premissas!$B$25)+((MIN(($A30/4/4),Premissas!$B$23)*Premissas!$B$19+MAX(($A30/4/4)-Premissas!$B$23,0)*Premissas!$B$21)*Premissas!$B$27)+(($A30/4/4)*(Premissas!$B$28+Premissas!$B$29+Premissas!$B$30)))*4*4)/$A30</f>
        <v>0.193636</v>
      </c>
      <c r="F30" s="13">
        <f>((((MIN(($A30/5/4),Premissas!$B$23)*Premissas!$B$19+MAX(($A30/5/4)-Premissas!$B$23,0)*Premissas!$B$21)*Premissas!$B$24+MAX((MIN(($A30/5/4),Premissas!$B$23)*Premissas!$B$19+MAX(($A30/5/4)-Premissas!$B$23,0)*Premissas!$B$21)-Premissas!$B$26,0)*Premissas!$B$25)+((MIN(($A30/5/4),Premissas!$B$23)*Premissas!$B$19+MAX(($A30/5/4)-Premissas!$B$23,0)*Premissas!$B$21)*Premissas!$B$27)+(($A30/5/4)*(Premissas!$B$28+Premissas!$B$29+Premissas!$B$30)))*4*5)/$A30</f>
        <v>0.1905</v>
      </c>
    </row>
    <row r="31" spans="1:6" x14ac:dyDescent="0.3">
      <c r="A31" s="32">
        <v>27500000</v>
      </c>
      <c r="B31" s="13">
        <f>((((MIN(($A31/1/4),Premissas!$B$23)*Premissas!$B$19+MAX(($A31/1/4)-Premissas!$B$23,0)*Premissas!$B$21)*Premissas!$B$24+MAX((MIN(($A31/1/4),Premissas!$B$23)*Premissas!$B$19+MAX(($A31/1/4)-Premissas!$B$23,0)*Premissas!$B$21)-Premissas!$B$26,0)*Premissas!$B$25)+((MIN(($A31/1/4),Premissas!$B$23)*Premissas!$B$19+MAX(($A31/1/4)-Premissas!$B$23,0)*Premissas!$B$21)*Premissas!$B$27)+(($A31/1/4)*(Premissas!$B$28+Premissas!$B$29+Premissas!$B$30)))*4*1)/$A31</f>
        <v>0.2033290909090909</v>
      </c>
      <c r="C31" s="13">
        <f>((((MIN(($A31/2/4),Premissas!$B$23)*Premissas!$B$19+MAX(($A31/2/4)-Premissas!$B$23,0)*Premissas!$B$21)*Premissas!$B$24+MAX((MIN(($A31/2/4),Premissas!$B$23)*Premissas!$B$19+MAX(($A31/2/4)-Premissas!$B$23,0)*Premissas!$B$21)-Premissas!$B$26,0)*Premissas!$B$25)+((MIN(($A31/2/4),Premissas!$B$23)*Premissas!$B$19+MAX(($A31/2/4)-Premissas!$B$23,0)*Premissas!$B$21)*Premissas!$B$27)+(($A31/2/4)*(Premissas!$B$28+Premissas!$B$29+Premissas!$B$30)))*4*2)/$A31</f>
        <v>0.20047818181818181</v>
      </c>
      <c r="D31" s="13">
        <f>((((MIN(($A31/3/4),Premissas!$B$23)*Premissas!$B$19+MAX(($A31/3/4)-Premissas!$B$23,0)*Premissas!$B$21)*Premissas!$B$24+MAX((MIN(($A31/3/4),Premissas!$B$23)*Premissas!$B$19+MAX(($A31/3/4)-Premissas!$B$23,0)*Premissas!$B$21)-Premissas!$B$26,0)*Premissas!$B$25)+((MIN(($A31/3/4),Premissas!$B$23)*Premissas!$B$19+MAX(($A31/3/4)-Premissas!$B$23,0)*Premissas!$B$21)*Premissas!$B$27)+(($A31/3/4)*(Premissas!$B$28+Premissas!$B$29+Premissas!$B$30)))*4*3)/$A31</f>
        <v>0.19762727272727271</v>
      </c>
      <c r="E31" s="13">
        <f>((((MIN(($A31/4/4),Premissas!$B$23)*Premissas!$B$19+MAX(($A31/4/4)-Premissas!$B$23,0)*Premissas!$B$21)*Premissas!$B$24+MAX((MIN(($A31/4/4),Premissas!$B$23)*Premissas!$B$19+MAX(($A31/4/4)-Premissas!$B$23,0)*Premissas!$B$21)-Premissas!$B$26,0)*Premissas!$B$25)+((MIN(($A31/4/4),Premissas!$B$23)*Premissas!$B$19+MAX(($A31/4/4)-Premissas!$B$23,0)*Premissas!$B$21)*Premissas!$B$27)+(($A31/4/4)*(Premissas!$B$28+Premissas!$B$29+Premissas!$B$30)))*4*4)/$A31</f>
        <v>0.19477636363636364</v>
      </c>
      <c r="F31" s="13">
        <f>((((MIN(($A31/5/4),Premissas!$B$23)*Premissas!$B$19+MAX(($A31/5/4)-Premissas!$B$23,0)*Premissas!$B$21)*Premissas!$B$24+MAX((MIN(($A31/5/4),Premissas!$B$23)*Premissas!$B$19+MAX(($A31/5/4)-Premissas!$B$23,0)*Premissas!$B$21)-Premissas!$B$26,0)*Premissas!$B$25)+((MIN(($A31/5/4),Premissas!$B$23)*Premissas!$B$19+MAX(($A31/5/4)-Premissas!$B$23,0)*Premissas!$B$21)*Premissas!$B$27)+(($A31/5/4)*(Premissas!$B$28+Premissas!$B$29+Premissas!$B$30)))*4*5)/$A31</f>
        <v>0.19192545454545454</v>
      </c>
    </row>
    <row r="32" spans="1:6" x14ac:dyDescent="0.3">
      <c r="A32" s="32">
        <v>30000000</v>
      </c>
      <c r="B32" s="13">
        <f>((((MIN(($A32/1/4),Premissas!$B$23)*Premissas!$B$19+MAX(($A32/1/4)-Premissas!$B$23,0)*Premissas!$B$21)*Premissas!$B$24+MAX((MIN(($A32/1/4),Premissas!$B$23)*Premissas!$B$19+MAX(($A32/1/4)-Premissas!$B$23,0)*Premissas!$B$21)-Premissas!$B$26,0)*Premissas!$B$25)+((MIN(($A32/1/4),Premissas!$B$23)*Premissas!$B$19+MAX(($A32/1/4)-Premissas!$B$23,0)*Premissas!$B$21)*Premissas!$B$27)+(($A32/1/4)*(Premissas!$B$28+Premissas!$B$29+Premissas!$B$30)))*4*1)/$A32</f>
        <v>0.20356666666666667</v>
      </c>
      <c r="C32" s="13">
        <f>((((MIN(($A32/2/4),Premissas!$B$23)*Premissas!$B$19+MAX(($A32/2/4)-Premissas!$B$23,0)*Premissas!$B$21)*Premissas!$B$24+MAX((MIN(($A32/2/4),Premissas!$B$23)*Premissas!$B$19+MAX(($A32/2/4)-Premissas!$B$23,0)*Premissas!$B$21)-Premissas!$B$26,0)*Premissas!$B$25)+((MIN(($A32/2/4),Premissas!$B$23)*Premissas!$B$19+MAX(($A32/2/4)-Premissas!$B$23,0)*Premissas!$B$21)*Premissas!$B$27)+(($A32/2/4)*(Premissas!$B$28+Premissas!$B$29+Premissas!$B$30)))*4*2)/$A32</f>
        <v>0.20095333333333334</v>
      </c>
      <c r="D32" s="13">
        <f>((((MIN(($A32/3/4),Premissas!$B$23)*Premissas!$B$19+MAX(($A32/3/4)-Premissas!$B$23,0)*Premissas!$B$21)*Premissas!$B$24+MAX((MIN(($A32/3/4),Premissas!$B$23)*Premissas!$B$19+MAX(($A32/3/4)-Premissas!$B$23,0)*Premissas!$B$21)-Premissas!$B$26,0)*Premissas!$B$25)+((MIN(($A32/3/4),Premissas!$B$23)*Premissas!$B$19+MAX(($A32/3/4)-Premissas!$B$23,0)*Premissas!$B$21)*Premissas!$B$27)+(($A32/3/4)*(Premissas!$B$28+Premissas!$B$29+Premissas!$B$30)))*4*3)/$A32</f>
        <v>0.19833999999999999</v>
      </c>
      <c r="E32" s="13">
        <f>((((MIN(($A32/4/4),Premissas!$B$23)*Premissas!$B$19+MAX(($A32/4/4)-Premissas!$B$23,0)*Premissas!$B$21)*Premissas!$B$24+MAX((MIN(($A32/4/4),Premissas!$B$23)*Premissas!$B$19+MAX(($A32/4/4)-Premissas!$B$23,0)*Premissas!$B$21)-Premissas!$B$26,0)*Premissas!$B$25)+((MIN(($A32/4/4),Premissas!$B$23)*Premissas!$B$19+MAX(($A32/4/4)-Premissas!$B$23,0)*Premissas!$B$21)*Premissas!$B$27)+(($A32/4/4)*(Premissas!$B$28+Premissas!$B$29+Premissas!$B$30)))*4*4)/$A32</f>
        <v>0.19572666666666666</v>
      </c>
      <c r="F32" s="13">
        <f>((((MIN(($A32/5/4),Premissas!$B$23)*Premissas!$B$19+MAX(($A32/5/4)-Premissas!$B$23,0)*Premissas!$B$21)*Premissas!$B$24+MAX((MIN(($A32/5/4),Premissas!$B$23)*Premissas!$B$19+MAX(($A32/5/4)-Premissas!$B$23,0)*Premissas!$B$21)-Premissas!$B$26,0)*Premissas!$B$25)+((MIN(($A32/5/4),Premissas!$B$23)*Premissas!$B$19+MAX(($A32/5/4)-Premissas!$B$23,0)*Premissas!$B$21)*Premissas!$B$27)+(($A32/5/4)*(Premissas!$B$28+Premissas!$B$29+Premissas!$B$30)))*4*5)/$A32</f>
        <v>0.19311333333333333</v>
      </c>
    </row>
    <row r="34" spans="1:6" x14ac:dyDescent="0.3">
      <c r="A34" s="35" t="s">
        <v>118</v>
      </c>
      <c r="B34" s="18"/>
      <c r="C34" s="18"/>
      <c r="D34" s="18"/>
      <c r="E34" s="18"/>
      <c r="F34" s="18"/>
    </row>
  </sheetData>
  <mergeCells count="3">
    <mergeCell ref="A3:F3"/>
    <mergeCell ref="A34:F34"/>
    <mergeCell ref="A4:F4"/>
  </mergeCells>
  <conditionalFormatting sqref="C7:F17">
    <cfRule type="cellIs" dxfId="1" priority="1" operator="greaterThan">
      <formula>0</formula>
    </cfRule>
    <cfRule type="cellIs" dxfId="0" priority="2" operator="lessThanOrEqual">
      <formula>0</formula>
    </cfRule>
  </conditionalFormatting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4A7C59"/>
  </sheetPr>
  <dimension ref="A1:B42"/>
  <sheetViews>
    <sheetView showGridLines="0" workbookViewId="0">
      <selection activeCell="I36" sqref="I36"/>
    </sheetView>
  </sheetViews>
  <sheetFormatPr defaultRowHeight="15.6" x14ac:dyDescent="0.3"/>
  <cols>
    <col min="1" max="1" width="44" style="5" customWidth="1"/>
    <col min="2" max="2" width="28" style="5" customWidth="1"/>
    <col min="3" max="16384" width="8.88671875" style="5"/>
  </cols>
  <sheetData>
    <row r="1" spans="1:2" ht="60.6" customHeight="1" x14ac:dyDescent="0.3"/>
    <row r="2" spans="1:2" ht="6" customHeight="1" x14ac:dyDescent="0.3">
      <c r="A2" s="19"/>
      <c r="B2" s="19"/>
    </row>
    <row r="3" spans="1:2" ht="30" customHeight="1" x14ac:dyDescent="0.3">
      <c r="A3" s="3" t="s">
        <v>119</v>
      </c>
      <c r="B3" s="4"/>
    </row>
    <row r="4" spans="1:2" x14ac:dyDescent="0.3">
      <c r="A4" s="20" t="s">
        <v>120</v>
      </c>
      <c r="B4" s="4"/>
    </row>
    <row r="6" spans="1:2" x14ac:dyDescent="0.3">
      <c r="A6" s="11" t="s">
        <v>121</v>
      </c>
      <c r="B6" s="12"/>
    </row>
    <row r="7" spans="1:2" x14ac:dyDescent="0.3">
      <c r="A7" s="10" t="s">
        <v>122</v>
      </c>
      <c r="B7" s="8">
        <f>Premissas!B7</f>
        <v>12000000</v>
      </c>
    </row>
    <row r="8" spans="1:2" x14ac:dyDescent="0.3">
      <c r="A8" s="10" t="s">
        <v>123</v>
      </c>
      <c r="B8" s="26">
        <f>Premissas!B8</f>
        <v>2</v>
      </c>
    </row>
    <row r="9" spans="1:2" x14ac:dyDescent="0.3">
      <c r="A9" s="10" t="s">
        <v>30</v>
      </c>
      <c r="B9" s="29" t="str">
        <f>Premissas!B38</f>
        <v>Consultoria CVM</v>
      </c>
    </row>
    <row r="11" spans="1:2" x14ac:dyDescent="0.3">
      <c r="A11" s="11" t="s">
        <v>124</v>
      </c>
      <c r="B11" s="12"/>
    </row>
    <row r="12" spans="1:2" x14ac:dyDescent="0.3">
      <c r="A12" s="10" t="s">
        <v>125</v>
      </c>
      <c r="B12" s="8">
        <f>'Situação Atual'!G27</f>
        <v>2339120</v>
      </c>
    </row>
    <row r="13" spans="1:2" x14ac:dyDescent="0.3">
      <c r="A13" s="10" t="s">
        <v>92</v>
      </c>
      <c r="B13" s="13">
        <f>'Situação Atual'!G28</f>
        <v>0.19492666666666666</v>
      </c>
    </row>
    <row r="14" spans="1:2" x14ac:dyDescent="0.3">
      <c r="A14" s="10" t="s">
        <v>66</v>
      </c>
      <c r="B14" s="8">
        <f>'Situação Atual'!G29</f>
        <v>72000</v>
      </c>
    </row>
    <row r="16" spans="1:2" x14ac:dyDescent="0.3">
      <c r="A16" s="11" t="s">
        <v>126</v>
      </c>
      <c r="B16" s="12"/>
    </row>
    <row r="17" spans="1:2" x14ac:dyDescent="0.3">
      <c r="A17" s="10" t="s">
        <v>127</v>
      </c>
      <c r="B17" s="8">
        <f>'Cenários de Expansão'!C46</f>
        <v>67520</v>
      </c>
    </row>
    <row r="18" spans="1:2" x14ac:dyDescent="0.3">
      <c r="A18" s="10" t="s">
        <v>128</v>
      </c>
      <c r="B18" s="8">
        <f>'Cenários de Expansão'!C40</f>
        <v>51080</v>
      </c>
    </row>
    <row r="19" spans="1:2" x14ac:dyDescent="0.3">
      <c r="A19" s="10" t="s">
        <v>129</v>
      </c>
      <c r="B19" s="8">
        <f>'Cenários de Expansão'!C41</f>
        <v>41080</v>
      </c>
    </row>
    <row r="20" spans="1:2" x14ac:dyDescent="0.3">
      <c r="A20" s="7" t="s">
        <v>103</v>
      </c>
      <c r="B20" s="9">
        <f>'Cenários de Expansão'!C47</f>
        <v>16440</v>
      </c>
    </row>
    <row r="21" spans="1:2" x14ac:dyDescent="0.3">
      <c r="A21" s="7" t="s">
        <v>104</v>
      </c>
      <c r="B21" s="36">
        <f>'Cenários de Expansão'!C48</f>
        <v>26440</v>
      </c>
    </row>
    <row r="22" spans="1:2" x14ac:dyDescent="0.3">
      <c r="A22" s="10" t="s">
        <v>105</v>
      </c>
      <c r="B22" s="30">
        <f>'Cenários de Expansão'!C49</f>
        <v>4.5385779122541603</v>
      </c>
    </row>
    <row r="23" spans="1:2" ht="132" customHeight="1" x14ac:dyDescent="0.3"/>
    <row r="24" spans="1:2" x14ac:dyDescent="0.3">
      <c r="A24" s="11" t="s">
        <v>130</v>
      </c>
      <c r="B24" s="12"/>
    </row>
    <row r="25" spans="1:2" x14ac:dyDescent="0.3">
      <c r="A25" s="10" t="s">
        <v>103</v>
      </c>
      <c r="B25" s="8">
        <f>'Cenários de Expansão'!D47</f>
        <v>-10640</v>
      </c>
    </row>
    <row r="26" spans="1:2" x14ac:dyDescent="0.3">
      <c r="A26" s="10" t="s">
        <v>104</v>
      </c>
      <c r="B26" s="8">
        <f>'Cenários de Expansão'!D48</f>
        <v>9360</v>
      </c>
    </row>
    <row r="27" spans="1:2" x14ac:dyDescent="0.3">
      <c r="A27" s="10" t="s">
        <v>105</v>
      </c>
      <c r="B27" s="30">
        <f>'Cenários de Expansão'!D49</f>
        <v>25.641025641025642</v>
      </c>
    </row>
    <row r="29" spans="1:2" x14ac:dyDescent="0.3">
      <c r="A29" s="11" t="s">
        <v>131</v>
      </c>
      <c r="B29" s="12"/>
    </row>
    <row r="30" spans="1:2" x14ac:dyDescent="0.3">
      <c r="A30" s="10" t="s">
        <v>132</v>
      </c>
      <c r="B30" s="13">
        <f>'Situação Atual'!G28</f>
        <v>0.19492666666666666</v>
      </c>
    </row>
    <row r="31" spans="1:2" x14ac:dyDescent="0.3">
      <c r="A31" s="10" t="s">
        <v>133</v>
      </c>
      <c r="B31" s="13">
        <f>'Cenários de Expansão'!C34</f>
        <v>0.1893</v>
      </c>
    </row>
    <row r="32" spans="1:2" x14ac:dyDescent="0.3">
      <c r="A32" s="10" t="s">
        <v>134</v>
      </c>
      <c r="B32" s="13">
        <f>'Cenários de Expansão'!D34</f>
        <v>0.18729999999999999</v>
      </c>
    </row>
    <row r="33" spans="1:2" x14ac:dyDescent="0.3">
      <c r="A33" s="10" t="s">
        <v>135</v>
      </c>
      <c r="B33" s="13">
        <f>B30-B31</f>
        <v>5.6266666666666687E-3</v>
      </c>
    </row>
    <row r="35" spans="1:2" x14ac:dyDescent="0.3">
      <c r="A35" s="11" t="s">
        <v>136</v>
      </c>
      <c r="B35" s="12"/>
    </row>
    <row r="36" spans="1:2" ht="49.95" customHeight="1" x14ac:dyDescent="0.3">
      <c r="A36" s="37" t="s">
        <v>137</v>
      </c>
      <c r="B36" s="4"/>
    </row>
    <row r="37" spans="1:2" ht="45.6" customHeight="1" x14ac:dyDescent="0.3">
      <c r="A37" s="38"/>
      <c r="B37" s="4"/>
    </row>
    <row r="38" spans="1:2" x14ac:dyDescent="0.3">
      <c r="A38" s="39" t="s">
        <v>138</v>
      </c>
      <c r="B38" s="4"/>
    </row>
    <row r="40" spans="1:2" x14ac:dyDescent="0.3">
      <c r="A40" s="17" t="s">
        <v>139</v>
      </c>
      <c r="B40" s="4"/>
    </row>
    <row r="41" spans="1:2" x14ac:dyDescent="0.3">
      <c r="A41" s="17" t="s">
        <v>140</v>
      </c>
      <c r="B41" s="4"/>
    </row>
    <row r="42" spans="1:2" x14ac:dyDescent="0.3">
      <c r="A42" s="17" t="s">
        <v>141</v>
      </c>
      <c r="B42" s="4"/>
    </row>
  </sheetData>
  <mergeCells count="8">
    <mergeCell ref="A3:B3"/>
    <mergeCell ref="A38:B38"/>
    <mergeCell ref="A4:B4"/>
    <mergeCell ref="A37:B37"/>
    <mergeCell ref="A42:B42"/>
    <mergeCell ref="A40:B40"/>
    <mergeCell ref="A41:B41"/>
    <mergeCell ref="A36:B36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Premissas</vt:lpstr>
      <vt:lpstr>Situação Atual</vt:lpstr>
      <vt:lpstr>Cenários de Expansão</vt:lpstr>
      <vt:lpstr>Sensibilidade</vt:lpstr>
      <vt:lpstr>Resumo Executivo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Vitor Baldessar</cp:lastModifiedBy>
  <dcterms:created xsi:type="dcterms:W3CDTF">2026-04-01T13:39:30Z</dcterms:created>
  <dcterms:modified xsi:type="dcterms:W3CDTF">2026-04-01T16:41:40Z</dcterms:modified>
</cp:coreProperties>
</file>